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附表1-2" sheetId="1" r:id="rId1"/>
  </sheets>
  <definedNames/>
  <calcPr fullCalcOnLoad="1"/>
</workbook>
</file>

<file path=xl/sharedStrings.xml><?xml version="1.0" encoding="utf-8"?>
<sst xmlns="http://schemas.openxmlformats.org/spreadsheetml/2006/main" count="139" uniqueCount="120">
  <si>
    <t>附件3</t>
  </si>
  <si>
    <t>2023年研究生国家奖助学金安排表</t>
  </si>
  <si>
    <t>单位：人、万元</t>
  </si>
  <si>
    <t>序号</t>
  </si>
  <si>
    <t>单位名称</t>
  </si>
  <si>
    <t>单位用款编码</t>
  </si>
  <si>
    <r>
      <rPr>
        <b/>
        <sz val="10"/>
        <color indexed="8"/>
        <rFont val="宋体"/>
        <family val="0"/>
      </rPr>
      <t>2023年春季学期全日制在校生</t>
    </r>
    <r>
      <rPr>
        <sz val="10"/>
        <color indexed="8"/>
        <rFont val="宋体"/>
        <family val="0"/>
      </rPr>
      <t>（不含定向和委培）</t>
    </r>
  </si>
  <si>
    <r>
      <rPr>
        <b/>
        <sz val="10"/>
        <color indexed="8"/>
        <rFont val="宋体"/>
        <family val="0"/>
      </rPr>
      <t>2023年应届毕业生</t>
    </r>
    <r>
      <rPr>
        <sz val="10"/>
        <color indexed="8"/>
        <rFont val="宋体"/>
        <family val="0"/>
      </rPr>
      <t>（不含定向和委培）</t>
    </r>
  </si>
  <si>
    <t>预计2023年秋季学期全日制新生人数</t>
  </si>
  <si>
    <t>预计2023年秋季学期全日制在校人数</t>
  </si>
  <si>
    <t>2023年国家奖学金</t>
  </si>
  <si>
    <t>2023年学业奖学金</t>
  </si>
  <si>
    <t>2023年国家助学金</t>
  </si>
  <si>
    <t>应下达2023年研究生国家奖助学金省以上财政资金</t>
  </si>
  <si>
    <t>结余资金</t>
  </si>
  <si>
    <r>
      <rPr>
        <b/>
        <sz val="10"/>
        <color indexed="8"/>
        <rFont val="宋体"/>
        <family val="0"/>
      </rPr>
      <t xml:space="preserve">已下达2023年省以上资金
</t>
    </r>
    <r>
      <rPr>
        <sz val="9"/>
        <color indexed="8"/>
        <rFont val="宋体"/>
        <family val="0"/>
      </rPr>
      <t>粤财科教[2022]207号/粤财科教函[2022]14号</t>
    </r>
  </si>
  <si>
    <t>还应下达2023年研究生国家奖助学金省以上财政资金</t>
  </si>
  <si>
    <t>本次下达2023年省以上研究生国家奖助学金</t>
  </si>
  <si>
    <t>待清算</t>
  </si>
  <si>
    <t>名额</t>
  </si>
  <si>
    <t>金额
(中央财政)</t>
  </si>
  <si>
    <t>省财政支持人数</t>
  </si>
  <si>
    <t>省财政支持金额</t>
  </si>
  <si>
    <t>春季学期人数</t>
  </si>
  <si>
    <t>秋季学期人数</t>
  </si>
  <si>
    <t>金额</t>
  </si>
  <si>
    <t xml:space="preserve">其中：省以上财政 </t>
  </si>
  <si>
    <t>硕士</t>
  </si>
  <si>
    <t>博士</t>
  </si>
  <si>
    <t>X=(T+V)*0.3+(U+W)*0.65</t>
  </si>
  <si>
    <t>小计</t>
  </si>
  <si>
    <r>
      <rPr>
        <sz val="10"/>
        <color indexed="8"/>
        <rFont val="宋体"/>
        <family val="0"/>
      </rPr>
      <t>其中：</t>
    </r>
    <r>
      <rPr>
        <b/>
        <sz val="10"/>
        <color indexed="8"/>
        <rFont val="宋体"/>
        <family val="0"/>
      </rPr>
      <t xml:space="preserve">
中央</t>
    </r>
  </si>
  <si>
    <r>
      <rPr>
        <sz val="10"/>
        <color indexed="8"/>
        <rFont val="宋体"/>
        <family val="0"/>
      </rPr>
      <t>其中：</t>
    </r>
    <r>
      <rPr>
        <b/>
        <sz val="10"/>
        <color indexed="8"/>
        <rFont val="宋体"/>
        <family val="0"/>
      </rPr>
      <t xml:space="preserve">
省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</si>
  <si>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</si>
  <si>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</si>
  <si>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</si>
  <si>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</si>
  <si>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</si>
  <si>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</si>
  <si>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</si>
  <si>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</si>
  <si>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</si>
  <si>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J=D-F+H</t>
  </si>
  <si>
    <t>K=E-G+I</t>
  </si>
  <si>
    <t>L</t>
  </si>
  <si>
    <t>M</t>
  </si>
  <si>
    <t>N=L*2</t>
  </si>
  <si>
    <t>O=M*3</t>
  </si>
  <si>
    <t>P=J*0.4</t>
  </si>
  <si>
    <t>Q=K*0.7</t>
  </si>
  <si>
    <t>R=P*0.8</t>
  </si>
  <si>
    <t>S=Q*1</t>
  </si>
  <si>
    <t>T</t>
  </si>
  <si>
    <t>U</t>
  </si>
  <si>
    <t>V</t>
  </si>
  <si>
    <t>W</t>
  </si>
  <si>
    <t>Y=X*分担比例</t>
  </si>
  <si>
    <t>Z=N+O+R+S+Y</t>
  </si>
  <si>
    <t>AA</t>
  </si>
  <si>
    <t>AB</t>
  </si>
  <si>
    <t>AC=Z-AA-AB</t>
  </si>
  <si>
    <t>AD=AC(取整)</t>
  </si>
  <si>
    <t>AE</t>
  </si>
  <si>
    <t>AF</t>
  </si>
  <si>
    <t>AG</t>
  </si>
  <si>
    <t>合计</t>
  </si>
  <si>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.</t>
    </r>
    <r>
      <rPr>
        <b/>
        <sz val="10"/>
        <rFont val="宋体"/>
        <family val="0"/>
      </rPr>
      <t>省属高校小计</t>
    </r>
  </si>
  <si>
    <t>华南农业大学</t>
  </si>
  <si>
    <t>156003</t>
  </si>
  <si>
    <t>南方医科大学</t>
  </si>
  <si>
    <t>156002</t>
  </si>
  <si>
    <t>广州中医药大学</t>
  </si>
  <si>
    <t>156022</t>
  </si>
  <si>
    <t>华南师范大学</t>
  </si>
  <si>
    <t>156004</t>
  </si>
  <si>
    <t>广东工业大学</t>
  </si>
  <si>
    <t>156006</t>
  </si>
  <si>
    <t>广东外语外贸大学</t>
  </si>
  <si>
    <t>156005</t>
  </si>
  <si>
    <t>汕头大学</t>
  </si>
  <si>
    <t>156010</t>
  </si>
  <si>
    <t>广东财经大学</t>
  </si>
  <si>
    <t>156014</t>
  </si>
  <si>
    <t>广东医科大学</t>
  </si>
  <si>
    <t>156011</t>
  </si>
  <si>
    <t>广东海洋大学</t>
  </si>
  <si>
    <t>156007</t>
  </si>
  <si>
    <t>仲恺农业工程学院</t>
  </si>
  <si>
    <t>156015</t>
  </si>
  <si>
    <t>广东药科大学</t>
  </si>
  <si>
    <t>156012</t>
  </si>
  <si>
    <t>星海音乐学院</t>
  </si>
  <si>
    <t>156018</t>
  </si>
  <si>
    <t>广州美术学院</t>
  </si>
  <si>
    <t>156017</t>
  </si>
  <si>
    <t>广州体育学院</t>
  </si>
  <si>
    <t>156016</t>
  </si>
  <si>
    <t>广东技术师范大学</t>
  </si>
  <si>
    <t>156013</t>
  </si>
  <si>
    <t>广东金融学院</t>
  </si>
  <si>
    <t>156020</t>
  </si>
  <si>
    <r>
      <rPr>
        <b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.</t>
    </r>
    <r>
      <rPr>
        <b/>
        <sz val="10"/>
        <color indexed="8"/>
        <rFont val="宋体"/>
        <family val="0"/>
      </rPr>
      <t>市属高校</t>
    </r>
  </si>
  <si>
    <t>广州市</t>
  </si>
  <si>
    <t>广州大学</t>
  </si>
  <si>
    <t>440100000</t>
  </si>
  <si>
    <t>广州医科大学</t>
  </si>
  <si>
    <t>佛山市</t>
  </si>
  <si>
    <t>佛山科学技术学院</t>
  </si>
  <si>
    <t>440600000</t>
  </si>
  <si>
    <t>东莞市</t>
  </si>
  <si>
    <t>东莞理工学院</t>
  </si>
  <si>
    <t>江门市</t>
  </si>
  <si>
    <t>五邑大学</t>
  </si>
  <si>
    <t>3.科研院所</t>
  </si>
  <si>
    <t>广东省社会科学院</t>
  </si>
  <si>
    <t>164001</t>
  </si>
  <si>
    <t>广东省心血管病研究所</t>
  </si>
  <si>
    <t>174052</t>
  </si>
  <si>
    <t>中共广东省委党校</t>
  </si>
  <si>
    <t>157001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</si>
</sst>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0_);[Red]\(0\)"/>
    <numFmt numFmtId="180" formatCode="#,##0.0_ "/>
    <numFmt numFmtId="181" formatCode="0.0%"/>
    <numFmt numFmtId="182" formatCode="#,##0.0000_ "/>
    <numFmt numFmtId="183" formatCode="#,##0.0000_ ;[Red]\-#,##0.0000\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2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  <font>
      <sz val="20"/>
      <color theme="1"/>
      <name val="方正小标宋简体"/>
      <family val="0"/>
    </font>
    <font>
      <sz val="14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sz val="12"/>
      <color theme="1"/>
      <name val="方正小标宋简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</cellStyleXfs>
  <cellXfs count="84">
    <xf numFmtId="0" fontId="0" fillId="0" borderId="0" xfId="0" applyFont="1" applyAlignment="1">
      <alignment vertical="center"/>
    </xf>
    <xf numFmtId="0" fontId="50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33" borderId="9" xfId="63" applyNumberFormat="1" applyFont="1" applyFill="1" applyBorder="1" applyAlignment="1">
      <alignment horizontal="center" vertical="center" wrapText="1"/>
      <protection/>
    </xf>
    <xf numFmtId="0" fontId="7" fillId="33" borderId="9" xfId="63" applyNumberFormat="1" applyFont="1" applyFill="1" applyBorder="1" applyAlignment="1" applyProtection="1">
      <alignment horizontal="center" vertical="center" wrapText="1"/>
      <protection/>
    </xf>
    <xf numFmtId="176" fontId="56" fillId="33" borderId="9" xfId="0" applyNumberFormat="1" applyFont="1" applyFill="1" applyBorder="1" applyAlignment="1">
      <alignment horizontal="right" vertical="center" wrapText="1"/>
    </xf>
    <xf numFmtId="0" fontId="7" fillId="34" borderId="9" xfId="63" applyNumberFormat="1" applyFont="1" applyFill="1" applyBorder="1" applyAlignment="1">
      <alignment horizontal="center" vertical="center" wrapText="1"/>
      <protection/>
    </xf>
    <xf numFmtId="0" fontId="7" fillId="34" borderId="9" xfId="63" applyNumberFormat="1" applyFont="1" applyFill="1" applyBorder="1" applyAlignment="1" applyProtection="1">
      <alignment horizontal="left" vertical="center" wrapText="1"/>
      <protection/>
    </xf>
    <xf numFmtId="0" fontId="7" fillId="34" borderId="9" xfId="63" applyNumberFormat="1" applyFont="1" applyFill="1" applyBorder="1" applyAlignment="1" applyProtection="1">
      <alignment horizontal="center" vertical="center" wrapText="1"/>
      <protection/>
    </xf>
    <xf numFmtId="176" fontId="56" fillId="34" borderId="9" xfId="0" applyNumberFormat="1" applyFont="1" applyFill="1" applyBorder="1" applyAlignment="1">
      <alignment horizontal="right" vertical="center" wrapText="1"/>
    </xf>
    <xf numFmtId="0" fontId="55" fillId="0" borderId="9" xfId="0" applyFont="1" applyFill="1" applyBorder="1" applyAlignment="1">
      <alignment horizontal="left" vertical="center" wrapText="1"/>
    </xf>
    <xf numFmtId="176" fontId="57" fillId="0" borderId="9" xfId="0" applyNumberFormat="1" applyFont="1" applyFill="1" applyBorder="1" applyAlignment="1">
      <alignment horizontal="right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left" vertical="center" wrapText="1"/>
    </xf>
    <xf numFmtId="0" fontId="54" fillId="34" borderId="9" xfId="0" applyFont="1" applyFill="1" applyBorder="1" applyAlignment="1">
      <alignment horizontal="center" vertical="center" wrapText="1"/>
    </xf>
    <xf numFmtId="177" fontId="51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>
      <alignment horizontal="center" vertical="center" wrapText="1"/>
    </xf>
    <xf numFmtId="177" fontId="53" fillId="0" borderId="0" xfId="0" applyNumberFormat="1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177" fontId="56" fillId="33" borderId="9" xfId="0" applyNumberFormat="1" applyFont="1" applyFill="1" applyBorder="1" applyAlignment="1">
      <alignment horizontal="right" vertical="center" wrapText="1"/>
    </xf>
    <xf numFmtId="178" fontId="56" fillId="33" borderId="9" xfId="0" applyNumberFormat="1" applyFont="1" applyFill="1" applyBorder="1" applyAlignment="1">
      <alignment horizontal="right" vertical="center" wrapText="1"/>
    </xf>
    <xf numFmtId="177" fontId="56" fillId="34" borderId="9" xfId="0" applyNumberFormat="1" applyFont="1" applyFill="1" applyBorder="1" applyAlignment="1">
      <alignment horizontal="right" vertical="center" wrapText="1"/>
    </xf>
    <xf numFmtId="178" fontId="56" fillId="34" borderId="9" xfId="0" applyNumberFormat="1" applyFont="1" applyFill="1" applyBorder="1" applyAlignment="1">
      <alignment horizontal="right" vertical="center" wrapText="1"/>
    </xf>
    <xf numFmtId="177" fontId="57" fillId="0" borderId="9" xfId="0" applyNumberFormat="1" applyFont="1" applyFill="1" applyBorder="1" applyAlignment="1">
      <alignment horizontal="right" vertical="center" wrapText="1"/>
    </xf>
    <xf numFmtId="178" fontId="57" fillId="0" borderId="9" xfId="0" applyNumberFormat="1" applyFont="1" applyFill="1" applyBorder="1" applyAlignment="1">
      <alignment horizontal="right" vertical="center" wrapText="1"/>
    </xf>
    <xf numFmtId="178" fontId="57" fillId="34" borderId="9" xfId="0" applyNumberFormat="1" applyFont="1" applyFill="1" applyBorder="1" applyAlignment="1">
      <alignment horizontal="right" vertical="center" wrapText="1"/>
    </xf>
    <xf numFmtId="0" fontId="57" fillId="0" borderId="9" xfId="0" applyFont="1" applyFill="1" applyBorder="1" applyAlignment="1">
      <alignment horizontal="right" vertical="center" wrapText="1"/>
    </xf>
    <xf numFmtId="176" fontId="57" fillId="34" borderId="9" xfId="0" applyNumberFormat="1" applyFont="1" applyFill="1" applyBorder="1" applyAlignment="1">
      <alignment horizontal="right" vertical="center" wrapText="1"/>
    </xf>
    <xf numFmtId="179" fontId="57" fillId="0" borderId="9" xfId="0" applyNumberFormat="1" applyFont="1" applyFill="1" applyBorder="1" applyAlignment="1">
      <alignment horizontal="right" vertical="center" wrapText="1"/>
    </xf>
    <xf numFmtId="180" fontId="51" fillId="0" borderId="0" xfId="0" applyNumberFormat="1" applyFont="1" applyFill="1" applyBorder="1" applyAlignment="1">
      <alignment vertical="center"/>
    </xf>
    <xf numFmtId="181" fontId="51" fillId="0" borderId="0" xfId="0" applyNumberFormat="1" applyFont="1" applyFill="1" applyBorder="1" applyAlignment="1">
      <alignment vertical="center"/>
    </xf>
    <xf numFmtId="180" fontId="52" fillId="0" borderId="0" xfId="0" applyNumberFormat="1" applyFont="1" applyFill="1" applyBorder="1" applyAlignment="1">
      <alignment horizontal="center" vertical="center" wrapText="1"/>
    </xf>
    <xf numFmtId="181" fontId="52" fillId="0" borderId="0" xfId="0" applyNumberFormat="1" applyFont="1" applyFill="1" applyBorder="1" applyAlignment="1">
      <alignment horizontal="center" vertical="center" wrapText="1"/>
    </xf>
    <xf numFmtId="180" fontId="53" fillId="0" borderId="0" xfId="0" applyNumberFormat="1" applyFont="1" applyFill="1" applyBorder="1" applyAlignment="1">
      <alignment horizontal="center" vertical="center" wrapText="1"/>
    </xf>
    <xf numFmtId="181" fontId="53" fillId="0" borderId="0" xfId="0" applyNumberFormat="1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181" fontId="54" fillId="0" borderId="9" xfId="0" applyNumberFormat="1" applyFont="1" applyFill="1" applyBorder="1" applyAlignment="1">
      <alignment horizontal="center" vertical="center" wrapText="1"/>
    </xf>
    <xf numFmtId="43" fontId="54" fillId="0" borderId="9" xfId="0" applyNumberFormat="1" applyFont="1" applyFill="1" applyBorder="1" applyAlignment="1">
      <alignment horizontal="center" vertical="center" wrapText="1"/>
    </xf>
    <xf numFmtId="43" fontId="55" fillId="0" borderId="10" xfId="0" applyNumberFormat="1" applyFont="1" applyFill="1" applyBorder="1" applyAlignment="1">
      <alignment horizontal="center" vertical="top" wrapText="1"/>
    </xf>
    <xf numFmtId="180" fontId="55" fillId="0" borderId="9" xfId="0" applyNumberFormat="1" applyFont="1" applyFill="1" applyBorder="1" applyAlignment="1">
      <alignment horizontal="center" vertical="center" wrapText="1"/>
    </xf>
    <xf numFmtId="43" fontId="55" fillId="0" borderId="11" xfId="0" applyNumberFormat="1" applyFont="1" applyFill="1" applyBorder="1" applyAlignment="1">
      <alignment horizontal="center" vertical="top" wrapText="1"/>
    </xf>
    <xf numFmtId="180" fontId="56" fillId="33" borderId="9" xfId="0" applyNumberFormat="1" applyFont="1" applyFill="1" applyBorder="1" applyAlignment="1">
      <alignment horizontal="right" vertical="center" wrapText="1"/>
    </xf>
    <xf numFmtId="43" fontId="56" fillId="33" borderId="9" xfId="0" applyNumberFormat="1" applyFont="1" applyFill="1" applyBorder="1" applyAlignment="1">
      <alignment horizontal="right" vertical="center" wrapText="1"/>
    </xf>
    <xf numFmtId="180" fontId="56" fillId="34" borderId="9" xfId="0" applyNumberFormat="1" applyFont="1" applyFill="1" applyBorder="1" applyAlignment="1">
      <alignment horizontal="right" vertical="center" wrapText="1"/>
    </xf>
    <xf numFmtId="43" fontId="56" fillId="34" borderId="9" xfId="0" applyNumberFormat="1" applyFont="1" applyFill="1" applyBorder="1" applyAlignment="1">
      <alignment horizontal="right" vertical="center" wrapText="1"/>
    </xf>
    <xf numFmtId="180" fontId="57" fillId="0" borderId="9" xfId="0" applyNumberFormat="1" applyFont="1" applyFill="1" applyBorder="1" applyAlignment="1">
      <alignment horizontal="right" vertical="center" wrapText="1"/>
    </xf>
    <xf numFmtId="43" fontId="57" fillId="0" borderId="9" xfId="0" applyNumberFormat="1" applyFont="1" applyFill="1" applyBorder="1" applyAlignment="1">
      <alignment horizontal="right" vertical="center" wrapText="1"/>
    </xf>
    <xf numFmtId="181" fontId="56" fillId="34" borderId="9" xfId="0" applyNumberFormat="1" applyFont="1" applyFill="1" applyBorder="1" applyAlignment="1">
      <alignment horizontal="right" vertical="center" wrapText="1"/>
    </xf>
    <xf numFmtId="182" fontId="51" fillId="0" borderId="0" xfId="0" applyNumberFormat="1" applyFont="1" applyFill="1" applyBorder="1" applyAlignment="1">
      <alignment vertical="center"/>
    </xf>
    <xf numFmtId="178" fontId="51" fillId="0" borderId="0" xfId="0" applyNumberFormat="1" applyFont="1" applyFill="1" applyBorder="1" applyAlignment="1">
      <alignment vertical="center"/>
    </xf>
    <xf numFmtId="183" fontId="51" fillId="0" borderId="0" xfId="0" applyNumberFormat="1" applyFont="1" applyFill="1" applyBorder="1" applyAlignment="1">
      <alignment vertical="center"/>
    </xf>
    <xf numFmtId="182" fontId="52" fillId="0" borderId="0" xfId="0" applyNumberFormat="1" applyFont="1" applyFill="1" applyBorder="1" applyAlignment="1">
      <alignment horizontal="center" vertical="center" wrapText="1"/>
    </xf>
    <xf numFmtId="178" fontId="52" fillId="0" borderId="0" xfId="0" applyNumberFormat="1" applyFont="1" applyFill="1" applyBorder="1" applyAlignment="1">
      <alignment horizontal="center" vertical="center" wrapText="1"/>
    </xf>
    <xf numFmtId="183" fontId="52" fillId="0" borderId="0" xfId="0" applyNumberFormat="1" applyFont="1" applyFill="1" applyBorder="1" applyAlignment="1">
      <alignment horizontal="center" vertical="center" wrapText="1"/>
    </xf>
    <xf numFmtId="182" fontId="53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183" fontId="58" fillId="0" borderId="0" xfId="0" applyNumberFormat="1" applyFont="1" applyFill="1" applyBorder="1" applyAlignment="1">
      <alignment horizontal="center" vertical="center" wrapText="1"/>
    </xf>
    <xf numFmtId="177" fontId="58" fillId="0" borderId="0" xfId="0" applyNumberFormat="1" applyFont="1" applyFill="1" applyBorder="1" applyAlignment="1">
      <alignment horizontal="center" vertical="center" wrapText="1"/>
    </xf>
    <xf numFmtId="178" fontId="58" fillId="0" borderId="0" xfId="0" applyNumberFormat="1" applyFont="1" applyFill="1" applyBorder="1" applyAlignment="1">
      <alignment horizontal="center" vertical="center" wrapText="1"/>
    </xf>
    <xf numFmtId="178" fontId="53" fillId="0" borderId="0" xfId="0" applyNumberFormat="1" applyFont="1" applyFill="1" applyBorder="1" applyAlignment="1">
      <alignment horizontal="center" vertical="center" wrapText="1"/>
    </xf>
    <xf numFmtId="182" fontId="54" fillId="0" borderId="9" xfId="0" applyNumberFormat="1" applyFont="1" applyFill="1" applyBorder="1" applyAlignment="1">
      <alignment horizontal="center" vertical="center" wrapText="1"/>
    </xf>
    <xf numFmtId="178" fontId="54" fillId="0" borderId="9" xfId="0" applyNumberFormat="1" applyFont="1" applyFill="1" applyBorder="1" applyAlignment="1">
      <alignment horizontal="center" vertical="center" wrapText="1"/>
    </xf>
    <xf numFmtId="183" fontId="54" fillId="0" borderId="9" xfId="0" applyNumberFormat="1" applyFont="1" applyFill="1" applyBorder="1" applyAlignment="1">
      <alignment horizontal="center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182" fontId="55" fillId="0" borderId="9" xfId="0" applyNumberFormat="1" applyFont="1" applyFill="1" applyBorder="1" applyAlignment="1">
      <alignment horizontal="center" vertical="center" wrapText="1"/>
    </xf>
    <xf numFmtId="183" fontId="55" fillId="0" borderId="9" xfId="0" applyNumberFormat="1" applyFont="1" applyFill="1" applyBorder="1" applyAlignment="1">
      <alignment horizontal="center" vertical="center" wrapText="1"/>
    </xf>
    <xf numFmtId="182" fontId="56" fillId="33" borderId="9" xfId="0" applyNumberFormat="1" applyFont="1" applyFill="1" applyBorder="1" applyAlignment="1">
      <alignment horizontal="right" vertical="center" wrapText="1"/>
    </xf>
    <xf numFmtId="183" fontId="56" fillId="33" borderId="9" xfId="0" applyNumberFormat="1" applyFont="1" applyFill="1" applyBorder="1" applyAlignment="1">
      <alignment horizontal="right" vertical="center" wrapText="1"/>
    </xf>
    <xf numFmtId="182" fontId="56" fillId="34" borderId="9" xfId="0" applyNumberFormat="1" applyFont="1" applyFill="1" applyBorder="1" applyAlignment="1">
      <alignment horizontal="right" vertical="center" wrapText="1"/>
    </xf>
    <xf numFmtId="183" fontId="56" fillId="34" borderId="9" xfId="0" applyNumberFormat="1" applyFont="1" applyFill="1" applyBorder="1" applyAlignment="1">
      <alignment horizontal="right" vertical="center" wrapText="1"/>
    </xf>
    <xf numFmtId="182" fontId="57" fillId="0" borderId="9" xfId="0" applyNumberFormat="1" applyFont="1" applyFill="1" applyBorder="1" applyAlignment="1">
      <alignment horizontal="right" vertical="center" wrapText="1"/>
    </xf>
    <xf numFmtId="183" fontId="57" fillId="0" borderId="9" xfId="0" applyNumberFormat="1" applyFont="1" applyFill="1" applyBorder="1" applyAlignment="1">
      <alignment horizontal="right" vertical="center" wrapText="1"/>
    </xf>
    <xf numFmtId="182" fontId="55" fillId="0" borderId="0" xfId="0" applyNumberFormat="1" applyFont="1" applyFill="1" applyBorder="1" applyAlignment="1">
      <alignment horizontal="right" vertical="center"/>
    </xf>
    <xf numFmtId="182" fontId="54" fillId="0" borderId="10" xfId="0" applyNumberFormat="1" applyFont="1" applyFill="1" applyBorder="1" applyAlignment="1">
      <alignment horizontal="center" vertical="center" wrapText="1"/>
    </xf>
    <xf numFmtId="182" fontId="54" fillId="0" borderId="12" xfId="0" applyNumberFormat="1" applyFont="1" applyFill="1" applyBorder="1" applyAlignment="1">
      <alignment horizontal="center" vertical="center" wrapText="1"/>
    </xf>
    <xf numFmtId="182" fontId="54" fillId="0" borderId="11" xfId="0" applyNumberFormat="1" applyFont="1" applyFill="1" applyBorder="1" applyAlignment="1">
      <alignment horizontal="center" vertical="center" wrapText="1"/>
    </xf>
    <xf numFmtId="182" fontId="5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SheetLayoutView="100" workbookViewId="0" topLeftCell="A1">
      <selection activeCell="D15" sqref="D15"/>
    </sheetView>
  </sheetViews>
  <sheetFormatPr defaultColWidth="8.8515625" defaultRowHeight="15"/>
  <cols>
    <col min="2" max="2" width="17.7109375" style="0" customWidth="1"/>
    <col min="24" max="24" width="10.57421875" style="0" customWidth="1"/>
    <col min="25" max="25" width="17.421875" style="0" customWidth="1"/>
    <col min="26" max="26" width="14.00390625" style="0" customWidth="1"/>
    <col min="27" max="27" width="12.28125" style="0" customWidth="1"/>
    <col min="29" max="29" width="13.7109375" style="0" customWidth="1"/>
  </cols>
  <sheetData>
    <row r="1" spans="1:33" ht="17.2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1"/>
      <c r="O1" s="21"/>
      <c r="P1" s="2"/>
      <c r="Q1" s="2"/>
      <c r="R1" s="36"/>
      <c r="S1" s="21"/>
      <c r="T1" s="2"/>
      <c r="U1" s="2"/>
      <c r="V1" s="37"/>
      <c r="W1" s="37"/>
      <c r="X1" s="2"/>
      <c r="Y1" s="55"/>
      <c r="Z1" s="55"/>
      <c r="AA1" s="55"/>
      <c r="AB1" s="56"/>
      <c r="AC1" s="57"/>
      <c r="AD1" s="21"/>
      <c r="AE1" s="56"/>
      <c r="AF1" s="56"/>
      <c r="AG1" s="55"/>
    </row>
    <row r="2" spans="1:33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2"/>
      <c r="O2" s="22"/>
      <c r="P2" s="4"/>
      <c r="Q2" s="4"/>
      <c r="R2" s="38"/>
      <c r="S2" s="22"/>
      <c r="T2" s="4"/>
      <c r="U2" s="4"/>
      <c r="V2" s="39"/>
      <c r="W2" s="39"/>
      <c r="X2" s="4"/>
      <c r="Y2" s="58"/>
      <c r="Z2" s="58"/>
      <c r="AA2" s="58"/>
      <c r="AB2" s="59"/>
      <c r="AC2" s="60"/>
      <c r="AD2" s="22"/>
      <c r="AE2" s="59"/>
      <c r="AF2" s="59"/>
      <c r="AG2" s="58"/>
    </row>
    <row r="3" spans="1:33" ht="1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3"/>
      <c r="O3" s="23"/>
      <c r="P3" s="5"/>
      <c r="Q3" s="5"/>
      <c r="R3" s="40"/>
      <c r="S3" s="23"/>
      <c r="T3" s="5"/>
      <c r="U3" s="5"/>
      <c r="V3" s="41"/>
      <c r="W3" s="41"/>
      <c r="X3" s="5"/>
      <c r="Y3" s="61"/>
      <c r="Z3" s="61"/>
      <c r="AA3" s="61"/>
      <c r="AB3" s="62"/>
      <c r="AC3" s="63"/>
      <c r="AD3" s="64"/>
      <c r="AE3" s="65"/>
      <c r="AF3" s="66"/>
      <c r="AG3" s="79" t="s">
        <v>2</v>
      </c>
    </row>
    <row r="4" spans="1:33" ht="14.25">
      <c r="A4" s="6" t="s">
        <v>3</v>
      </c>
      <c r="B4" s="6" t="s">
        <v>4</v>
      </c>
      <c r="C4" s="6" t="s">
        <v>5</v>
      </c>
      <c r="D4" s="6" t="s">
        <v>6</v>
      </c>
      <c r="E4" s="6"/>
      <c r="F4" s="6" t="s">
        <v>7</v>
      </c>
      <c r="G4" s="6"/>
      <c r="H4" s="7" t="s">
        <v>8</v>
      </c>
      <c r="I4" s="6"/>
      <c r="J4" s="7" t="s">
        <v>9</v>
      </c>
      <c r="K4" s="6"/>
      <c r="L4" s="6" t="s">
        <v>10</v>
      </c>
      <c r="M4" s="6"/>
      <c r="N4" s="24"/>
      <c r="O4" s="24"/>
      <c r="P4" s="6" t="s">
        <v>11</v>
      </c>
      <c r="Q4" s="6"/>
      <c r="R4" s="42"/>
      <c r="S4" s="24"/>
      <c r="T4" s="6" t="s">
        <v>12</v>
      </c>
      <c r="U4" s="6"/>
      <c r="V4" s="43"/>
      <c r="W4" s="43"/>
      <c r="X4" s="6"/>
      <c r="Y4" s="67"/>
      <c r="Z4" s="67" t="s">
        <v>13</v>
      </c>
      <c r="AA4" s="67" t="s">
        <v>14</v>
      </c>
      <c r="AB4" s="68" t="s">
        <v>15</v>
      </c>
      <c r="AC4" s="69" t="s">
        <v>16</v>
      </c>
      <c r="AD4" s="24" t="s">
        <v>17</v>
      </c>
      <c r="AE4" s="68"/>
      <c r="AF4" s="68"/>
      <c r="AG4" s="80" t="s">
        <v>18</v>
      </c>
    </row>
    <row r="5" spans="1:33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19</v>
      </c>
      <c r="M5" s="6"/>
      <c r="N5" s="24" t="s">
        <v>20</v>
      </c>
      <c r="O5" s="24"/>
      <c r="P5" s="6" t="s">
        <v>21</v>
      </c>
      <c r="Q5" s="6"/>
      <c r="R5" s="42" t="s">
        <v>22</v>
      </c>
      <c r="S5" s="24"/>
      <c r="T5" s="6" t="s">
        <v>23</v>
      </c>
      <c r="U5" s="6"/>
      <c r="V5" s="43" t="s">
        <v>24</v>
      </c>
      <c r="W5" s="43"/>
      <c r="X5" s="44" t="s">
        <v>25</v>
      </c>
      <c r="Y5" s="67" t="s">
        <v>26</v>
      </c>
      <c r="Z5" s="67"/>
      <c r="AA5" s="67"/>
      <c r="AB5" s="68"/>
      <c r="AC5" s="69"/>
      <c r="AD5" s="24"/>
      <c r="AE5" s="68"/>
      <c r="AF5" s="68"/>
      <c r="AG5" s="81"/>
    </row>
    <row r="6" spans="1:33" ht="24">
      <c r="A6" s="6"/>
      <c r="B6" s="6"/>
      <c r="C6" s="6"/>
      <c r="D6" s="6" t="s">
        <v>27</v>
      </c>
      <c r="E6" s="6" t="s">
        <v>28</v>
      </c>
      <c r="F6" s="6" t="s">
        <v>27</v>
      </c>
      <c r="G6" s="6" t="s">
        <v>28</v>
      </c>
      <c r="H6" s="6" t="s">
        <v>27</v>
      </c>
      <c r="I6" s="6" t="s">
        <v>28</v>
      </c>
      <c r="J6" s="6" t="s">
        <v>27</v>
      </c>
      <c r="K6" s="6" t="s">
        <v>28</v>
      </c>
      <c r="L6" s="6" t="s">
        <v>27</v>
      </c>
      <c r="M6" s="6" t="s">
        <v>28</v>
      </c>
      <c r="N6" s="24" t="s">
        <v>27</v>
      </c>
      <c r="O6" s="24" t="s">
        <v>28</v>
      </c>
      <c r="P6" s="6" t="s">
        <v>27</v>
      </c>
      <c r="Q6" s="6" t="s">
        <v>28</v>
      </c>
      <c r="R6" s="42" t="s">
        <v>27</v>
      </c>
      <c r="S6" s="24" t="s">
        <v>28</v>
      </c>
      <c r="T6" s="6" t="s">
        <v>27</v>
      </c>
      <c r="U6" s="6" t="s">
        <v>28</v>
      </c>
      <c r="V6" s="6" t="s">
        <v>27</v>
      </c>
      <c r="W6" s="6" t="s">
        <v>28</v>
      </c>
      <c r="X6" s="45" t="s">
        <v>29</v>
      </c>
      <c r="Y6" s="67"/>
      <c r="Z6" s="67"/>
      <c r="AA6" s="67"/>
      <c r="AB6" s="68"/>
      <c r="AC6" s="69"/>
      <c r="AD6" s="24" t="s">
        <v>30</v>
      </c>
      <c r="AE6" s="70" t="s">
        <v>31</v>
      </c>
      <c r="AF6" s="70" t="s">
        <v>32</v>
      </c>
      <c r="AG6" s="82"/>
    </row>
    <row r="7" spans="1:33" ht="24">
      <c r="A7" s="8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25" t="s">
        <v>46</v>
      </c>
      <c r="O7" s="25" t="s">
        <v>47</v>
      </c>
      <c r="P7" s="8" t="s">
        <v>48</v>
      </c>
      <c r="Q7" s="8" t="s">
        <v>49</v>
      </c>
      <c r="R7" s="46" t="s">
        <v>50</v>
      </c>
      <c r="S7" s="25" t="s">
        <v>51</v>
      </c>
      <c r="T7" s="8" t="s">
        <v>52</v>
      </c>
      <c r="U7" s="8" t="s">
        <v>53</v>
      </c>
      <c r="V7" s="8" t="s">
        <v>54</v>
      </c>
      <c r="W7" s="8" t="s">
        <v>55</v>
      </c>
      <c r="X7" s="47"/>
      <c r="Y7" s="71" t="s">
        <v>56</v>
      </c>
      <c r="Z7" s="71" t="s">
        <v>57</v>
      </c>
      <c r="AA7" s="71" t="s">
        <v>58</v>
      </c>
      <c r="AB7" s="70" t="s">
        <v>59</v>
      </c>
      <c r="AC7" s="72" t="s">
        <v>60</v>
      </c>
      <c r="AD7" s="25" t="s">
        <v>61</v>
      </c>
      <c r="AE7" s="70" t="s">
        <v>62</v>
      </c>
      <c r="AF7" s="70" t="s">
        <v>63</v>
      </c>
      <c r="AG7" s="83" t="s">
        <v>64</v>
      </c>
    </row>
    <row r="8" spans="1:33" ht="15">
      <c r="A8" s="9" t="s">
        <v>65</v>
      </c>
      <c r="B8" s="10"/>
      <c r="C8" s="10"/>
      <c r="D8" s="11">
        <f aca="true" t="shared" si="0" ref="D8:AG8">D9+D27+D37</f>
        <v>82577</v>
      </c>
      <c r="E8" s="11">
        <f t="shared" si="0"/>
        <v>6639</v>
      </c>
      <c r="F8" s="11">
        <f t="shared" si="0"/>
        <v>26185</v>
      </c>
      <c r="G8" s="11">
        <f t="shared" si="0"/>
        <v>1855</v>
      </c>
      <c r="H8" s="11">
        <f t="shared" si="0"/>
        <v>33885</v>
      </c>
      <c r="I8" s="11">
        <f t="shared" si="0"/>
        <v>2569</v>
      </c>
      <c r="J8" s="11">
        <f t="shared" si="0"/>
        <v>90277</v>
      </c>
      <c r="K8" s="11">
        <f t="shared" si="0"/>
        <v>7353</v>
      </c>
      <c r="L8" s="11">
        <f t="shared" si="0"/>
        <v>1102</v>
      </c>
      <c r="M8" s="11">
        <f t="shared" si="0"/>
        <v>181</v>
      </c>
      <c r="N8" s="26">
        <f t="shared" si="0"/>
        <v>2204</v>
      </c>
      <c r="O8" s="26">
        <f t="shared" si="0"/>
        <v>543</v>
      </c>
      <c r="P8" s="27">
        <f t="shared" si="0"/>
        <v>29589</v>
      </c>
      <c r="Q8" s="27">
        <f t="shared" si="0"/>
        <v>4506</v>
      </c>
      <c r="R8" s="48">
        <f t="shared" si="0"/>
        <v>23671.2</v>
      </c>
      <c r="S8" s="26">
        <f t="shared" si="0"/>
        <v>4506</v>
      </c>
      <c r="T8" s="11">
        <f t="shared" si="0"/>
        <v>81607</v>
      </c>
      <c r="U8" s="11">
        <f t="shared" si="0"/>
        <v>5548</v>
      </c>
      <c r="V8" s="11">
        <f t="shared" si="0"/>
        <v>89307</v>
      </c>
      <c r="W8" s="11">
        <f t="shared" si="0"/>
        <v>6262</v>
      </c>
      <c r="X8" s="49">
        <f t="shared" si="0"/>
        <v>58950.69999999999</v>
      </c>
      <c r="Y8" s="73">
        <f t="shared" si="0"/>
        <v>51859.69999999999</v>
      </c>
      <c r="Z8" s="73">
        <f t="shared" si="0"/>
        <v>82783.89999999998</v>
      </c>
      <c r="AA8" s="73">
        <f t="shared" si="0"/>
        <v>258.36391</v>
      </c>
      <c r="AB8" s="27">
        <f t="shared" si="0"/>
        <v>67024</v>
      </c>
      <c r="AC8" s="74">
        <f t="shared" si="0"/>
        <v>15501.536089999996</v>
      </c>
      <c r="AD8" s="26">
        <f t="shared" si="0"/>
        <v>15585</v>
      </c>
      <c r="AE8" s="27">
        <f t="shared" si="0"/>
        <v>3521</v>
      </c>
      <c r="AF8" s="27">
        <f t="shared" si="0"/>
        <v>12064</v>
      </c>
      <c r="AG8" s="73">
        <f t="shared" si="0"/>
        <v>81.87799999999999</v>
      </c>
    </row>
    <row r="9" spans="1:33" ht="15">
      <c r="A9" s="12"/>
      <c r="B9" s="13" t="s">
        <v>66</v>
      </c>
      <c r="C9" s="14"/>
      <c r="D9" s="15">
        <f aca="true" t="shared" si="1" ref="D9:AG9">SUM(D10:D26)</f>
        <v>67535</v>
      </c>
      <c r="E9" s="15">
        <f t="shared" si="1"/>
        <v>5917</v>
      </c>
      <c r="F9" s="15">
        <f t="shared" si="1"/>
        <v>21462</v>
      </c>
      <c r="G9" s="15">
        <f t="shared" si="1"/>
        <v>1729</v>
      </c>
      <c r="H9" s="15">
        <f t="shared" si="1"/>
        <v>27366</v>
      </c>
      <c r="I9" s="15">
        <f t="shared" si="1"/>
        <v>2213</v>
      </c>
      <c r="J9" s="15">
        <f t="shared" si="1"/>
        <v>73439</v>
      </c>
      <c r="K9" s="15">
        <f t="shared" si="1"/>
        <v>6401</v>
      </c>
      <c r="L9" s="15">
        <f t="shared" si="1"/>
        <v>903</v>
      </c>
      <c r="M9" s="15">
        <f t="shared" si="1"/>
        <v>162</v>
      </c>
      <c r="N9" s="28">
        <f t="shared" si="1"/>
        <v>1806</v>
      </c>
      <c r="O9" s="28">
        <f t="shared" si="1"/>
        <v>486</v>
      </c>
      <c r="P9" s="29">
        <f t="shared" si="1"/>
        <v>29378</v>
      </c>
      <c r="Q9" s="29">
        <f t="shared" si="1"/>
        <v>4481</v>
      </c>
      <c r="R9" s="50">
        <f t="shared" si="1"/>
        <v>23502.4</v>
      </c>
      <c r="S9" s="28">
        <f t="shared" si="1"/>
        <v>4481</v>
      </c>
      <c r="T9" s="15">
        <f t="shared" si="1"/>
        <v>66692</v>
      </c>
      <c r="U9" s="15">
        <f t="shared" si="1"/>
        <v>4935</v>
      </c>
      <c r="V9" s="15">
        <f t="shared" si="1"/>
        <v>72596</v>
      </c>
      <c r="W9" s="15">
        <f t="shared" si="1"/>
        <v>5419</v>
      </c>
      <c r="X9" s="51">
        <f t="shared" si="1"/>
        <v>48516.49999999999</v>
      </c>
      <c r="Y9" s="75">
        <f t="shared" si="1"/>
        <v>48516.49999999999</v>
      </c>
      <c r="Z9" s="75">
        <f t="shared" si="1"/>
        <v>78791.89999999998</v>
      </c>
      <c r="AA9" s="75">
        <f t="shared" si="1"/>
        <v>121.03390999999999</v>
      </c>
      <c r="AB9" s="29">
        <f t="shared" si="1"/>
        <v>63864</v>
      </c>
      <c r="AC9" s="76">
        <f t="shared" si="1"/>
        <v>14806.866089999996</v>
      </c>
      <c r="AD9" s="28">
        <f t="shared" si="1"/>
        <v>14841</v>
      </c>
      <c r="AE9" s="29">
        <f t="shared" si="1"/>
        <v>3356</v>
      </c>
      <c r="AF9" s="29">
        <f t="shared" si="1"/>
        <v>11485</v>
      </c>
      <c r="AG9" s="75">
        <f t="shared" si="1"/>
        <v>33.178</v>
      </c>
    </row>
    <row r="10" spans="1:33" ht="15">
      <c r="A10" s="8">
        <v>1</v>
      </c>
      <c r="B10" s="16" t="s">
        <v>67</v>
      </c>
      <c r="C10" s="8" t="s">
        <v>68</v>
      </c>
      <c r="D10" s="17">
        <v>8891</v>
      </c>
      <c r="E10" s="17">
        <v>1189</v>
      </c>
      <c r="F10" s="17">
        <v>2807</v>
      </c>
      <c r="G10" s="17">
        <v>290</v>
      </c>
      <c r="H10" s="17">
        <v>3443</v>
      </c>
      <c r="I10" s="17">
        <v>400</v>
      </c>
      <c r="J10" s="17">
        <f aca="true" t="shared" si="2" ref="J10:J26">D10-F10+H10</f>
        <v>9527</v>
      </c>
      <c r="K10" s="17">
        <f aca="true" t="shared" si="3" ref="K10:K19">E10-G10+I10</f>
        <v>1299</v>
      </c>
      <c r="L10" s="17">
        <v>114</v>
      </c>
      <c r="M10" s="17">
        <v>32</v>
      </c>
      <c r="N10" s="30">
        <f aca="true" t="shared" si="4" ref="N10:N26">L10*2</f>
        <v>228</v>
      </c>
      <c r="O10" s="30">
        <f aca="true" t="shared" si="5" ref="O10:O16">M10*3</f>
        <v>96</v>
      </c>
      <c r="P10" s="31">
        <f aca="true" t="shared" si="6" ref="P10:P26">ROUND(J10*0.4,0)</f>
        <v>3811</v>
      </c>
      <c r="Q10" s="31">
        <f aca="true" t="shared" si="7" ref="Q10:Q19">ROUND(K10*0.7,0)</f>
        <v>909</v>
      </c>
      <c r="R10" s="52">
        <f aca="true" t="shared" si="8" ref="R10:R26">P10*0.8</f>
        <v>3048.8</v>
      </c>
      <c r="S10" s="30">
        <f aca="true" t="shared" si="9" ref="S10:S19">Q10</f>
        <v>909</v>
      </c>
      <c r="T10" s="17">
        <v>8825</v>
      </c>
      <c r="U10" s="17">
        <v>964</v>
      </c>
      <c r="V10" s="30">
        <f aca="true" t="shared" si="10" ref="V10:V26">ROUNDDOWN(T10-F10+H10,0)</f>
        <v>9461</v>
      </c>
      <c r="W10" s="30">
        <f aca="true" t="shared" si="11" ref="W10:W19">ROUNDDOWN(U10-G10+I10,0)</f>
        <v>1074</v>
      </c>
      <c r="X10" s="53">
        <f aca="true" t="shared" si="12" ref="X10:X26">(T10+V10)*0.3+(U10+W10)*0.65</f>
        <v>6810.5</v>
      </c>
      <c r="Y10" s="77">
        <f aca="true" t="shared" si="13" ref="Y10:Y26">X10</f>
        <v>6810.5</v>
      </c>
      <c r="Z10" s="77">
        <f aca="true" t="shared" si="14" ref="Z10:Z26">N10+O10+R10+S10+Y10</f>
        <v>11092.3</v>
      </c>
      <c r="AA10" s="77"/>
      <c r="AB10" s="31">
        <v>8908</v>
      </c>
      <c r="AC10" s="78">
        <f aca="true" t="shared" si="15" ref="AC10:AC26">Z10-AA10-AB10</f>
        <v>2184.2999999999993</v>
      </c>
      <c r="AD10" s="30">
        <f aca="true" t="shared" si="16" ref="AD10:AD21">ROUND(AC10,0)</f>
        <v>2184</v>
      </c>
      <c r="AE10" s="31">
        <f aca="true" t="shared" si="17" ref="AE10:AE21">ROUND(AD10*0.226,0)</f>
        <v>494</v>
      </c>
      <c r="AF10" s="31">
        <f aca="true" t="shared" si="18" ref="AF10:AF21">AD10-AE10</f>
        <v>1690</v>
      </c>
      <c r="AG10" s="77"/>
    </row>
    <row r="11" spans="1:33" ht="15">
      <c r="A11" s="8">
        <v>2</v>
      </c>
      <c r="B11" s="16" t="s">
        <v>69</v>
      </c>
      <c r="C11" s="8" t="s">
        <v>70</v>
      </c>
      <c r="D11" s="17">
        <v>6942</v>
      </c>
      <c r="E11" s="17">
        <v>1690</v>
      </c>
      <c r="F11" s="17">
        <v>2028</v>
      </c>
      <c r="G11" s="17">
        <v>618</v>
      </c>
      <c r="H11" s="17">
        <v>2560</v>
      </c>
      <c r="I11" s="17">
        <v>600</v>
      </c>
      <c r="J11" s="17">
        <f t="shared" si="2"/>
        <v>7474</v>
      </c>
      <c r="K11" s="17">
        <f t="shared" si="3"/>
        <v>1672</v>
      </c>
      <c r="L11" s="17">
        <v>90</v>
      </c>
      <c r="M11" s="17">
        <v>45</v>
      </c>
      <c r="N11" s="30">
        <f t="shared" si="4"/>
        <v>180</v>
      </c>
      <c r="O11" s="30">
        <f t="shared" si="5"/>
        <v>135</v>
      </c>
      <c r="P11" s="31">
        <f t="shared" si="6"/>
        <v>2990</v>
      </c>
      <c r="Q11" s="31">
        <f t="shared" si="7"/>
        <v>1170</v>
      </c>
      <c r="R11" s="52">
        <f t="shared" si="8"/>
        <v>2392</v>
      </c>
      <c r="S11" s="30">
        <f t="shared" si="9"/>
        <v>1170</v>
      </c>
      <c r="T11" s="17">
        <v>6893</v>
      </c>
      <c r="U11" s="17">
        <v>1524</v>
      </c>
      <c r="V11" s="30">
        <f t="shared" si="10"/>
        <v>7425</v>
      </c>
      <c r="W11" s="30">
        <f t="shared" si="11"/>
        <v>1506</v>
      </c>
      <c r="X11" s="53">
        <f t="shared" si="12"/>
        <v>6264.9</v>
      </c>
      <c r="Y11" s="77">
        <f t="shared" si="13"/>
        <v>6264.9</v>
      </c>
      <c r="Z11" s="77">
        <f t="shared" si="14"/>
        <v>10141.9</v>
      </c>
      <c r="AA11" s="77"/>
      <c r="AB11" s="31">
        <v>8501</v>
      </c>
      <c r="AC11" s="78">
        <f t="shared" si="15"/>
        <v>1640.8999999999996</v>
      </c>
      <c r="AD11" s="30">
        <f t="shared" si="16"/>
        <v>1641</v>
      </c>
      <c r="AE11" s="31">
        <f t="shared" si="17"/>
        <v>371</v>
      </c>
      <c r="AF11" s="31">
        <f t="shared" si="18"/>
        <v>1270</v>
      </c>
      <c r="AG11" s="77"/>
    </row>
    <row r="12" spans="1:33" ht="15">
      <c r="A12" s="8">
        <v>3</v>
      </c>
      <c r="B12" s="16" t="s">
        <v>71</v>
      </c>
      <c r="C12" s="8" t="s">
        <v>72</v>
      </c>
      <c r="D12" s="17">
        <v>5173</v>
      </c>
      <c r="E12" s="17">
        <v>771</v>
      </c>
      <c r="F12" s="17">
        <v>1467</v>
      </c>
      <c r="G12" s="17">
        <v>183</v>
      </c>
      <c r="H12" s="17">
        <v>1978</v>
      </c>
      <c r="I12" s="17">
        <v>300</v>
      </c>
      <c r="J12" s="17">
        <f t="shared" si="2"/>
        <v>5684</v>
      </c>
      <c r="K12" s="17">
        <f t="shared" si="3"/>
        <v>888</v>
      </c>
      <c r="L12" s="17">
        <v>73</v>
      </c>
      <c r="M12" s="17">
        <v>25</v>
      </c>
      <c r="N12" s="30">
        <f t="shared" si="4"/>
        <v>146</v>
      </c>
      <c r="O12" s="30">
        <f t="shared" si="5"/>
        <v>75</v>
      </c>
      <c r="P12" s="31">
        <f t="shared" si="6"/>
        <v>2274</v>
      </c>
      <c r="Q12" s="31">
        <f t="shared" si="7"/>
        <v>622</v>
      </c>
      <c r="R12" s="52">
        <f t="shared" si="8"/>
        <v>1819.2</v>
      </c>
      <c r="S12" s="30">
        <f t="shared" si="9"/>
        <v>622</v>
      </c>
      <c r="T12" s="17">
        <v>5140</v>
      </c>
      <c r="U12" s="17">
        <v>722</v>
      </c>
      <c r="V12" s="30">
        <f t="shared" si="10"/>
        <v>5651</v>
      </c>
      <c r="W12" s="30">
        <f t="shared" si="11"/>
        <v>839</v>
      </c>
      <c r="X12" s="53">
        <f t="shared" si="12"/>
        <v>4251.95</v>
      </c>
      <c r="Y12" s="77">
        <f t="shared" si="13"/>
        <v>4251.95</v>
      </c>
      <c r="Z12" s="77">
        <f t="shared" si="14"/>
        <v>6914.15</v>
      </c>
      <c r="AA12" s="77"/>
      <c r="AB12" s="31">
        <v>5823</v>
      </c>
      <c r="AC12" s="78">
        <f t="shared" si="15"/>
        <v>1091.1499999999996</v>
      </c>
      <c r="AD12" s="30">
        <f t="shared" si="16"/>
        <v>1091</v>
      </c>
      <c r="AE12" s="31">
        <f t="shared" si="17"/>
        <v>247</v>
      </c>
      <c r="AF12" s="31">
        <f t="shared" si="18"/>
        <v>844</v>
      </c>
      <c r="AG12" s="77"/>
    </row>
    <row r="13" spans="1:33" ht="15">
      <c r="A13" s="8">
        <v>4</v>
      </c>
      <c r="B13" s="16" t="s">
        <v>73</v>
      </c>
      <c r="C13" s="8" t="s">
        <v>74</v>
      </c>
      <c r="D13" s="17">
        <v>12053</v>
      </c>
      <c r="E13" s="17">
        <v>981</v>
      </c>
      <c r="F13" s="17">
        <v>4402</v>
      </c>
      <c r="G13" s="17">
        <v>427</v>
      </c>
      <c r="H13" s="17">
        <v>5298</v>
      </c>
      <c r="I13" s="17">
        <v>400</v>
      </c>
      <c r="J13" s="17">
        <f t="shared" si="2"/>
        <v>12949</v>
      </c>
      <c r="K13" s="17">
        <f t="shared" si="3"/>
        <v>954</v>
      </c>
      <c r="L13" s="17">
        <v>165</v>
      </c>
      <c r="M13" s="17">
        <v>27</v>
      </c>
      <c r="N13" s="30">
        <f t="shared" si="4"/>
        <v>330</v>
      </c>
      <c r="O13" s="30">
        <f t="shared" si="5"/>
        <v>81</v>
      </c>
      <c r="P13" s="31">
        <f t="shared" si="6"/>
        <v>5180</v>
      </c>
      <c r="Q13" s="31">
        <f t="shared" si="7"/>
        <v>668</v>
      </c>
      <c r="R13" s="52">
        <f t="shared" si="8"/>
        <v>4144</v>
      </c>
      <c r="S13" s="30">
        <f t="shared" si="9"/>
        <v>668</v>
      </c>
      <c r="T13" s="17">
        <v>11909</v>
      </c>
      <c r="U13" s="17">
        <v>758</v>
      </c>
      <c r="V13" s="30">
        <f t="shared" si="10"/>
        <v>12805</v>
      </c>
      <c r="W13" s="30">
        <f t="shared" si="11"/>
        <v>731</v>
      </c>
      <c r="X13" s="53">
        <f t="shared" si="12"/>
        <v>8382.05</v>
      </c>
      <c r="Y13" s="77">
        <f t="shared" si="13"/>
        <v>8382.05</v>
      </c>
      <c r="Z13" s="77">
        <f t="shared" si="14"/>
        <v>13605.05</v>
      </c>
      <c r="AA13" s="77">
        <v>1.68</v>
      </c>
      <c r="AB13" s="31">
        <v>10917</v>
      </c>
      <c r="AC13" s="78">
        <f t="shared" si="15"/>
        <v>2686.369999999999</v>
      </c>
      <c r="AD13" s="30">
        <f t="shared" si="16"/>
        <v>2686</v>
      </c>
      <c r="AE13" s="31">
        <f t="shared" si="17"/>
        <v>607</v>
      </c>
      <c r="AF13" s="31">
        <f t="shared" si="18"/>
        <v>2079</v>
      </c>
      <c r="AG13" s="77"/>
    </row>
    <row r="14" spans="1:33" ht="15">
      <c r="A14" s="8">
        <v>5</v>
      </c>
      <c r="B14" s="16" t="s">
        <v>75</v>
      </c>
      <c r="C14" s="8" t="s">
        <v>76</v>
      </c>
      <c r="D14" s="17">
        <v>10050</v>
      </c>
      <c r="E14" s="17">
        <v>733</v>
      </c>
      <c r="F14" s="17">
        <v>3030</v>
      </c>
      <c r="G14" s="17">
        <v>113</v>
      </c>
      <c r="H14" s="17">
        <v>3869</v>
      </c>
      <c r="I14" s="17">
        <v>260</v>
      </c>
      <c r="J14" s="17">
        <f t="shared" si="2"/>
        <v>10889</v>
      </c>
      <c r="K14" s="17">
        <f t="shared" si="3"/>
        <v>880</v>
      </c>
      <c r="L14" s="17">
        <v>132</v>
      </c>
      <c r="M14" s="17">
        <v>18</v>
      </c>
      <c r="N14" s="30">
        <f t="shared" si="4"/>
        <v>264</v>
      </c>
      <c r="O14" s="30">
        <f t="shared" si="5"/>
        <v>54</v>
      </c>
      <c r="P14" s="31">
        <f t="shared" si="6"/>
        <v>4356</v>
      </c>
      <c r="Q14" s="31">
        <f t="shared" si="7"/>
        <v>616</v>
      </c>
      <c r="R14" s="52">
        <f t="shared" si="8"/>
        <v>3484.8</v>
      </c>
      <c r="S14" s="30">
        <f t="shared" si="9"/>
        <v>616</v>
      </c>
      <c r="T14" s="17">
        <v>9890</v>
      </c>
      <c r="U14" s="17">
        <v>502</v>
      </c>
      <c r="V14" s="30">
        <f t="shared" si="10"/>
        <v>10729</v>
      </c>
      <c r="W14" s="30">
        <f t="shared" si="11"/>
        <v>649</v>
      </c>
      <c r="X14" s="53">
        <f t="shared" si="12"/>
        <v>6933.849999999999</v>
      </c>
      <c r="Y14" s="77">
        <f t="shared" si="13"/>
        <v>6933.849999999999</v>
      </c>
      <c r="Z14" s="77">
        <f t="shared" si="14"/>
        <v>11352.65</v>
      </c>
      <c r="AA14" s="77"/>
      <c r="AB14" s="31">
        <v>9173</v>
      </c>
      <c r="AC14" s="78">
        <f t="shared" si="15"/>
        <v>2179.6499999999996</v>
      </c>
      <c r="AD14" s="30">
        <f t="shared" si="16"/>
        <v>2180</v>
      </c>
      <c r="AE14" s="31">
        <f t="shared" si="17"/>
        <v>493</v>
      </c>
      <c r="AF14" s="31">
        <f t="shared" si="18"/>
        <v>1687</v>
      </c>
      <c r="AG14" s="77"/>
    </row>
    <row r="15" spans="1:33" ht="15">
      <c r="A15" s="8">
        <v>6</v>
      </c>
      <c r="B15" s="16" t="s">
        <v>77</v>
      </c>
      <c r="C15" s="8" t="s">
        <v>78</v>
      </c>
      <c r="D15" s="17">
        <v>4600</v>
      </c>
      <c r="E15" s="17">
        <v>219</v>
      </c>
      <c r="F15" s="17">
        <v>1900</v>
      </c>
      <c r="G15" s="17">
        <v>20</v>
      </c>
      <c r="H15" s="17">
        <v>2081</v>
      </c>
      <c r="I15" s="17">
        <v>65</v>
      </c>
      <c r="J15" s="17">
        <f t="shared" si="2"/>
        <v>4781</v>
      </c>
      <c r="K15" s="17">
        <f t="shared" si="3"/>
        <v>264</v>
      </c>
      <c r="L15" s="17">
        <v>60</v>
      </c>
      <c r="M15" s="17">
        <v>6</v>
      </c>
      <c r="N15" s="30">
        <f t="shared" si="4"/>
        <v>120</v>
      </c>
      <c r="O15" s="30">
        <f t="shared" si="5"/>
        <v>18</v>
      </c>
      <c r="P15" s="31">
        <f t="shared" si="6"/>
        <v>1912</v>
      </c>
      <c r="Q15" s="31">
        <f t="shared" si="7"/>
        <v>185</v>
      </c>
      <c r="R15" s="52">
        <f t="shared" si="8"/>
        <v>1529.6000000000001</v>
      </c>
      <c r="S15" s="30">
        <f t="shared" si="9"/>
        <v>185</v>
      </c>
      <c r="T15" s="17">
        <v>4474</v>
      </c>
      <c r="U15" s="17">
        <v>148</v>
      </c>
      <c r="V15" s="30">
        <f t="shared" si="10"/>
        <v>4655</v>
      </c>
      <c r="W15" s="30">
        <f t="shared" si="11"/>
        <v>193</v>
      </c>
      <c r="X15" s="53">
        <f t="shared" si="12"/>
        <v>2960.35</v>
      </c>
      <c r="Y15" s="77">
        <f t="shared" si="13"/>
        <v>2960.35</v>
      </c>
      <c r="Z15" s="77">
        <f t="shared" si="14"/>
        <v>4812.95</v>
      </c>
      <c r="AA15" s="77">
        <v>0.01271</v>
      </c>
      <c r="AB15" s="31">
        <v>4058</v>
      </c>
      <c r="AC15" s="78">
        <f t="shared" si="15"/>
        <v>754.9372899999998</v>
      </c>
      <c r="AD15" s="30">
        <f t="shared" si="16"/>
        <v>755</v>
      </c>
      <c r="AE15" s="31">
        <f t="shared" si="17"/>
        <v>171</v>
      </c>
      <c r="AF15" s="31">
        <f t="shared" si="18"/>
        <v>584</v>
      </c>
      <c r="AG15" s="77"/>
    </row>
    <row r="16" spans="1:33" ht="15">
      <c r="A16" s="8">
        <v>7</v>
      </c>
      <c r="B16" s="16" t="s">
        <v>79</v>
      </c>
      <c r="C16" s="8" t="s">
        <v>80</v>
      </c>
      <c r="D16" s="17">
        <v>3924</v>
      </c>
      <c r="E16" s="17">
        <v>204</v>
      </c>
      <c r="F16" s="17">
        <v>670</v>
      </c>
      <c r="G16" s="17">
        <v>35</v>
      </c>
      <c r="H16" s="17">
        <v>1503</v>
      </c>
      <c r="I16" s="17">
        <v>98</v>
      </c>
      <c r="J16" s="17">
        <f t="shared" si="2"/>
        <v>4757</v>
      </c>
      <c r="K16" s="17">
        <f t="shared" si="3"/>
        <v>267</v>
      </c>
      <c r="L16" s="17">
        <v>57</v>
      </c>
      <c r="M16" s="17">
        <v>6</v>
      </c>
      <c r="N16" s="30">
        <f t="shared" si="4"/>
        <v>114</v>
      </c>
      <c r="O16" s="30">
        <f t="shared" si="5"/>
        <v>18</v>
      </c>
      <c r="P16" s="31">
        <f t="shared" si="6"/>
        <v>1903</v>
      </c>
      <c r="Q16" s="31">
        <f t="shared" si="7"/>
        <v>187</v>
      </c>
      <c r="R16" s="52">
        <f t="shared" si="8"/>
        <v>1522.4</v>
      </c>
      <c r="S16" s="30">
        <f t="shared" si="9"/>
        <v>187</v>
      </c>
      <c r="T16" s="17">
        <v>3924</v>
      </c>
      <c r="U16" s="17">
        <v>204</v>
      </c>
      <c r="V16" s="30">
        <f t="shared" si="10"/>
        <v>4757</v>
      </c>
      <c r="W16" s="30">
        <f t="shared" si="11"/>
        <v>267</v>
      </c>
      <c r="X16" s="53">
        <f t="shared" si="12"/>
        <v>2910.45</v>
      </c>
      <c r="Y16" s="77">
        <f t="shared" si="13"/>
        <v>2910.45</v>
      </c>
      <c r="Z16" s="77">
        <f t="shared" si="14"/>
        <v>4751.85</v>
      </c>
      <c r="AA16" s="77"/>
      <c r="AB16" s="31">
        <v>3665</v>
      </c>
      <c r="AC16" s="78">
        <f t="shared" si="15"/>
        <v>1086.8500000000004</v>
      </c>
      <c r="AD16" s="30">
        <f t="shared" si="16"/>
        <v>1087</v>
      </c>
      <c r="AE16" s="31">
        <f t="shared" si="17"/>
        <v>246</v>
      </c>
      <c r="AF16" s="31">
        <f t="shared" si="18"/>
        <v>841</v>
      </c>
      <c r="AG16" s="77"/>
    </row>
    <row r="17" spans="1:33" ht="15">
      <c r="A17" s="8">
        <v>8</v>
      </c>
      <c r="B17" s="16" t="s">
        <v>81</v>
      </c>
      <c r="C17" s="8" t="s">
        <v>82</v>
      </c>
      <c r="D17" s="17">
        <v>2721</v>
      </c>
      <c r="E17" s="17"/>
      <c r="F17" s="17">
        <v>1113</v>
      </c>
      <c r="G17" s="17"/>
      <c r="H17" s="17">
        <v>1217</v>
      </c>
      <c r="I17" s="17">
        <v>10</v>
      </c>
      <c r="J17" s="17">
        <f t="shared" si="2"/>
        <v>2825</v>
      </c>
      <c r="K17" s="17">
        <f t="shared" si="3"/>
        <v>10</v>
      </c>
      <c r="L17" s="17">
        <v>36</v>
      </c>
      <c r="M17" s="17"/>
      <c r="N17" s="30">
        <f t="shared" si="4"/>
        <v>72</v>
      </c>
      <c r="O17" s="30"/>
      <c r="P17" s="31">
        <f t="shared" si="6"/>
        <v>1130</v>
      </c>
      <c r="Q17" s="31">
        <f t="shared" si="7"/>
        <v>7</v>
      </c>
      <c r="R17" s="52">
        <f t="shared" si="8"/>
        <v>904</v>
      </c>
      <c r="S17" s="30">
        <f t="shared" si="9"/>
        <v>7</v>
      </c>
      <c r="T17" s="17">
        <v>2688</v>
      </c>
      <c r="U17" s="17"/>
      <c r="V17" s="30">
        <f t="shared" si="10"/>
        <v>2792</v>
      </c>
      <c r="W17" s="30">
        <f t="shared" si="11"/>
        <v>10</v>
      </c>
      <c r="X17" s="53">
        <f t="shared" si="12"/>
        <v>1650.5</v>
      </c>
      <c r="Y17" s="77">
        <f t="shared" si="13"/>
        <v>1650.5</v>
      </c>
      <c r="Z17" s="77">
        <f t="shared" si="14"/>
        <v>2633.5</v>
      </c>
      <c r="AA17" s="77"/>
      <c r="AB17" s="31">
        <v>2277</v>
      </c>
      <c r="AC17" s="78">
        <f t="shared" si="15"/>
        <v>356.5</v>
      </c>
      <c r="AD17" s="30">
        <f t="shared" si="16"/>
        <v>357</v>
      </c>
      <c r="AE17" s="31">
        <f t="shared" si="17"/>
        <v>81</v>
      </c>
      <c r="AF17" s="31">
        <f t="shared" si="18"/>
        <v>276</v>
      </c>
      <c r="AG17" s="77"/>
    </row>
    <row r="18" spans="1:33" ht="15">
      <c r="A18" s="8">
        <v>9</v>
      </c>
      <c r="B18" s="16" t="s">
        <v>83</v>
      </c>
      <c r="C18" s="8" t="s">
        <v>84</v>
      </c>
      <c r="D18" s="17">
        <v>2805</v>
      </c>
      <c r="E18" s="17">
        <v>42</v>
      </c>
      <c r="F18" s="17">
        <v>882</v>
      </c>
      <c r="G18" s="17">
        <v>13</v>
      </c>
      <c r="H18" s="17">
        <v>1053</v>
      </c>
      <c r="I18" s="17">
        <v>25</v>
      </c>
      <c r="J18" s="17">
        <f t="shared" si="2"/>
        <v>2976</v>
      </c>
      <c r="K18" s="17">
        <f t="shared" si="3"/>
        <v>54</v>
      </c>
      <c r="L18" s="17">
        <v>36</v>
      </c>
      <c r="M18" s="17">
        <v>1</v>
      </c>
      <c r="N18" s="30">
        <f t="shared" si="4"/>
        <v>72</v>
      </c>
      <c r="O18" s="30">
        <f>M18*3</f>
        <v>3</v>
      </c>
      <c r="P18" s="31">
        <f t="shared" si="6"/>
        <v>1190</v>
      </c>
      <c r="Q18" s="31">
        <f t="shared" si="7"/>
        <v>38</v>
      </c>
      <c r="R18" s="52">
        <f t="shared" si="8"/>
        <v>952</v>
      </c>
      <c r="S18" s="30">
        <f t="shared" si="9"/>
        <v>38</v>
      </c>
      <c r="T18" s="17">
        <v>2774</v>
      </c>
      <c r="U18" s="17">
        <v>33</v>
      </c>
      <c r="V18" s="30">
        <f t="shared" si="10"/>
        <v>2945</v>
      </c>
      <c r="W18" s="30">
        <f t="shared" si="11"/>
        <v>45</v>
      </c>
      <c r="X18" s="53">
        <f t="shared" si="12"/>
        <v>1766.4</v>
      </c>
      <c r="Y18" s="77">
        <f t="shared" si="13"/>
        <v>1766.4</v>
      </c>
      <c r="Z18" s="77">
        <f t="shared" si="14"/>
        <v>2831.4</v>
      </c>
      <c r="AA18" s="77">
        <v>57.9632</v>
      </c>
      <c r="AB18" s="31">
        <v>2323</v>
      </c>
      <c r="AC18" s="78">
        <f t="shared" si="15"/>
        <v>450.43679999999995</v>
      </c>
      <c r="AD18" s="30">
        <f t="shared" si="16"/>
        <v>450</v>
      </c>
      <c r="AE18" s="31">
        <f t="shared" si="17"/>
        <v>102</v>
      </c>
      <c r="AF18" s="31">
        <f t="shared" si="18"/>
        <v>348</v>
      </c>
      <c r="AG18" s="77"/>
    </row>
    <row r="19" spans="1:33" ht="15">
      <c r="A19" s="8">
        <v>10</v>
      </c>
      <c r="B19" s="16" t="s">
        <v>85</v>
      </c>
      <c r="C19" s="8" t="s">
        <v>86</v>
      </c>
      <c r="D19" s="17">
        <v>1873</v>
      </c>
      <c r="E19" s="17">
        <v>84</v>
      </c>
      <c r="F19" s="17">
        <v>562</v>
      </c>
      <c r="G19" s="17">
        <v>30</v>
      </c>
      <c r="H19" s="17">
        <v>746</v>
      </c>
      <c r="I19" s="17">
        <v>35</v>
      </c>
      <c r="J19" s="17">
        <f t="shared" si="2"/>
        <v>2057</v>
      </c>
      <c r="K19" s="17">
        <f t="shared" si="3"/>
        <v>89</v>
      </c>
      <c r="L19" s="17">
        <v>25</v>
      </c>
      <c r="M19" s="17">
        <v>2</v>
      </c>
      <c r="N19" s="30">
        <f t="shared" si="4"/>
        <v>50</v>
      </c>
      <c r="O19" s="30">
        <f>M19*3</f>
        <v>6</v>
      </c>
      <c r="P19" s="31">
        <f t="shared" si="6"/>
        <v>823</v>
      </c>
      <c r="Q19" s="31">
        <f t="shared" si="7"/>
        <v>62</v>
      </c>
      <c r="R19" s="52">
        <f t="shared" si="8"/>
        <v>658.4000000000001</v>
      </c>
      <c r="S19" s="30">
        <f t="shared" si="9"/>
        <v>62</v>
      </c>
      <c r="T19" s="17">
        <v>1840</v>
      </c>
      <c r="U19" s="17">
        <v>76</v>
      </c>
      <c r="V19" s="30">
        <f t="shared" si="10"/>
        <v>2024</v>
      </c>
      <c r="W19" s="30">
        <f t="shared" si="11"/>
        <v>81</v>
      </c>
      <c r="X19" s="53">
        <f t="shared" si="12"/>
        <v>1261.25</v>
      </c>
      <c r="Y19" s="77">
        <f t="shared" si="13"/>
        <v>1261.25</v>
      </c>
      <c r="Z19" s="77">
        <f t="shared" si="14"/>
        <v>2037.65</v>
      </c>
      <c r="AA19" s="77"/>
      <c r="AB19" s="31">
        <v>1648</v>
      </c>
      <c r="AC19" s="78">
        <f t="shared" si="15"/>
        <v>389.6500000000001</v>
      </c>
      <c r="AD19" s="30">
        <f t="shared" si="16"/>
        <v>390</v>
      </c>
      <c r="AE19" s="31">
        <f t="shared" si="17"/>
        <v>88</v>
      </c>
      <c r="AF19" s="31">
        <f t="shared" si="18"/>
        <v>302</v>
      </c>
      <c r="AG19" s="77"/>
    </row>
    <row r="20" spans="1:33" ht="15">
      <c r="A20" s="8">
        <v>11</v>
      </c>
      <c r="B20" s="16" t="s">
        <v>87</v>
      </c>
      <c r="C20" s="8" t="s">
        <v>88</v>
      </c>
      <c r="D20" s="17">
        <v>1477</v>
      </c>
      <c r="E20" s="17"/>
      <c r="F20" s="17">
        <v>405</v>
      </c>
      <c r="G20" s="17"/>
      <c r="H20" s="17">
        <v>757</v>
      </c>
      <c r="I20" s="17">
        <v>0</v>
      </c>
      <c r="J20" s="17">
        <f t="shared" si="2"/>
        <v>1829</v>
      </c>
      <c r="K20" s="17"/>
      <c r="L20" s="17">
        <v>22</v>
      </c>
      <c r="M20" s="17"/>
      <c r="N20" s="30">
        <f t="shared" si="4"/>
        <v>44</v>
      </c>
      <c r="O20" s="30"/>
      <c r="P20" s="31">
        <f t="shared" si="6"/>
        <v>732</v>
      </c>
      <c r="Q20" s="31"/>
      <c r="R20" s="52">
        <f t="shared" si="8"/>
        <v>585.6</v>
      </c>
      <c r="S20" s="30"/>
      <c r="T20" s="17">
        <v>1464</v>
      </c>
      <c r="U20" s="17">
        <v>0</v>
      </c>
      <c r="V20" s="30">
        <f t="shared" si="10"/>
        <v>1816</v>
      </c>
      <c r="W20" s="30"/>
      <c r="X20" s="53">
        <f t="shared" si="12"/>
        <v>984</v>
      </c>
      <c r="Y20" s="77">
        <f t="shared" si="13"/>
        <v>984</v>
      </c>
      <c r="Z20" s="77">
        <f t="shared" si="14"/>
        <v>1613.6</v>
      </c>
      <c r="AA20" s="77"/>
      <c r="AB20" s="31">
        <v>1166</v>
      </c>
      <c r="AC20" s="78">
        <f t="shared" si="15"/>
        <v>447.5999999999999</v>
      </c>
      <c r="AD20" s="30">
        <f t="shared" si="16"/>
        <v>448</v>
      </c>
      <c r="AE20" s="31">
        <f t="shared" si="17"/>
        <v>101</v>
      </c>
      <c r="AF20" s="31">
        <f t="shared" si="18"/>
        <v>347</v>
      </c>
      <c r="AG20" s="77"/>
    </row>
    <row r="21" spans="1:33" ht="15">
      <c r="A21" s="8">
        <v>12</v>
      </c>
      <c r="B21" s="16" t="s">
        <v>89</v>
      </c>
      <c r="C21" s="8" t="s">
        <v>90</v>
      </c>
      <c r="D21" s="17">
        <v>2469</v>
      </c>
      <c r="E21" s="17"/>
      <c r="F21" s="17">
        <v>719</v>
      </c>
      <c r="G21" s="17"/>
      <c r="H21" s="17">
        <v>919</v>
      </c>
      <c r="I21" s="17">
        <v>0</v>
      </c>
      <c r="J21" s="17">
        <f t="shared" si="2"/>
        <v>2669</v>
      </c>
      <c r="K21" s="17"/>
      <c r="L21" s="17">
        <v>32</v>
      </c>
      <c r="M21" s="17"/>
      <c r="N21" s="30">
        <f t="shared" si="4"/>
        <v>64</v>
      </c>
      <c r="O21" s="30"/>
      <c r="P21" s="31">
        <f t="shared" si="6"/>
        <v>1068</v>
      </c>
      <c r="Q21" s="31"/>
      <c r="R21" s="52">
        <f t="shared" si="8"/>
        <v>854.4000000000001</v>
      </c>
      <c r="S21" s="30"/>
      <c r="T21" s="17">
        <v>2458</v>
      </c>
      <c r="U21" s="17">
        <v>0</v>
      </c>
      <c r="V21" s="30">
        <f t="shared" si="10"/>
        <v>2658</v>
      </c>
      <c r="W21" s="30"/>
      <c r="X21" s="53">
        <f t="shared" si="12"/>
        <v>1534.8</v>
      </c>
      <c r="Y21" s="77">
        <f t="shared" si="13"/>
        <v>1534.8</v>
      </c>
      <c r="Z21" s="77">
        <f t="shared" si="14"/>
        <v>2453.2</v>
      </c>
      <c r="AA21" s="77"/>
      <c r="AB21" s="31">
        <v>1993</v>
      </c>
      <c r="AC21" s="78">
        <f t="shared" si="15"/>
        <v>460.1999999999998</v>
      </c>
      <c r="AD21" s="30">
        <f t="shared" si="16"/>
        <v>460</v>
      </c>
      <c r="AE21" s="31">
        <f t="shared" si="17"/>
        <v>104</v>
      </c>
      <c r="AF21" s="31">
        <f t="shared" si="18"/>
        <v>356</v>
      </c>
      <c r="AG21" s="77"/>
    </row>
    <row r="22" spans="1:33" ht="15">
      <c r="A22" s="8">
        <v>13</v>
      </c>
      <c r="B22" s="16" t="s">
        <v>91</v>
      </c>
      <c r="C22" s="8" t="s">
        <v>92</v>
      </c>
      <c r="D22" s="17">
        <v>428</v>
      </c>
      <c r="E22" s="17"/>
      <c r="F22" s="17">
        <v>153</v>
      </c>
      <c r="G22" s="17"/>
      <c r="H22" s="17">
        <v>151</v>
      </c>
      <c r="I22" s="17">
        <v>0</v>
      </c>
      <c r="J22" s="17">
        <f t="shared" si="2"/>
        <v>426</v>
      </c>
      <c r="K22" s="17"/>
      <c r="L22" s="17">
        <v>5</v>
      </c>
      <c r="M22" s="17"/>
      <c r="N22" s="30">
        <f t="shared" si="4"/>
        <v>10</v>
      </c>
      <c r="O22" s="30"/>
      <c r="P22" s="31">
        <f t="shared" si="6"/>
        <v>170</v>
      </c>
      <c r="Q22" s="31"/>
      <c r="R22" s="52">
        <f t="shared" si="8"/>
        <v>136</v>
      </c>
      <c r="S22" s="30"/>
      <c r="T22" s="17">
        <v>398</v>
      </c>
      <c r="U22" s="17">
        <v>0</v>
      </c>
      <c r="V22" s="30">
        <f t="shared" si="10"/>
        <v>396</v>
      </c>
      <c r="W22" s="30"/>
      <c r="X22" s="53">
        <f t="shared" si="12"/>
        <v>238.2</v>
      </c>
      <c r="Y22" s="77">
        <f t="shared" si="13"/>
        <v>238.2</v>
      </c>
      <c r="Z22" s="77">
        <f t="shared" si="14"/>
        <v>384.2</v>
      </c>
      <c r="AA22" s="77">
        <v>61.378</v>
      </c>
      <c r="AB22" s="31">
        <v>356</v>
      </c>
      <c r="AC22" s="78">
        <f t="shared" si="15"/>
        <v>-33.178</v>
      </c>
      <c r="AD22" s="30"/>
      <c r="AE22" s="31"/>
      <c r="AF22" s="31"/>
      <c r="AG22" s="77">
        <f>-AC22</f>
        <v>33.178</v>
      </c>
    </row>
    <row r="23" spans="1:33" ht="15">
      <c r="A23" s="8">
        <v>14</v>
      </c>
      <c r="B23" s="16" t="s">
        <v>93</v>
      </c>
      <c r="C23" s="8" t="s">
        <v>94</v>
      </c>
      <c r="D23" s="17">
        <v>1248</v>
      </c>
      <c r="E23" s="17">
        <v>4</v>
      </c>
      <c r="F23" s="17">
        <v>393</v>
      </c>
      <c r="G23" s="17"/>
      <c r="H23" s="17">
        <v>444</v>
      </c>
      <c r="I23" s="17">
        <v>20</v>
      </c>
      <c r="J23" s="17">
        <f t="shared" si="2"/>
        <v>1299</v>
      </c>
      <c r="K23" s="17">
        <f>E23-G23+I23</f>
        <v>24</v>
      </c>
      <c r="L23" s="17">
        <v>16</v>
      </c>
      <c r="M23" s="17"/>
      <c r="N23" s="30">
        <f t="shared" si="4"/>
        <v>32</v>
      </c>
      <c r="O23" s="30"/>
      <c r="P23" s="31">
        <f t="shared" si="6"/>
        <v>520</v>
      </c>
      <c r="Q23" s="31">
        <f>ROUND(K23*0.7,0)</f>
        <v>17</v>
      </c>
      <c r="R23" s="52">
        <f t="shared" si="8"/>
        <v>416</v>
      </c>
      <c r="S23" s="30">
        <f>Q23</f>
        <v>17</v>
      </c>
      <c r="T23" s="17">
        <v>1162</v>
      </c>
      <c r="U23" s="17">
        <v>4</v>
      </c>
      <c r="V23" s="30">
        <f t="shared" si="10"/>
        <v>1213</v>
      </c>
      <c r="W23" s="30">
        <f>ROUNDDOWN(U23-G23+I23,0)</f>
        <v>24</v>
      </c>
      <c r="X23" s="53">
        <f t="shared" si="12"/>
        <v>730.7</v>
      </c>
      <c r="Y23" s="77">
        <f t="shared" si="13"/>
        <v>730.7</v>
      </c>
      <c r="Z23" s="77">
        <f t="shared" si="14"/>
        <v>1195.7</v>
      </c>
      <c r="AA23" s="77"/>
      <c r="AB23" s="31">
        <v>1029</v>
      </c>
      <c r="AC23" s="78">
        <f t="shared" si="15"/>
        <v>166.70000000000005</v>
      </c>
      <c r="AD23" s="30">
        <f aca="true" t="shared" si="19" ref="AD23:AD26">ROUND(AC23,0)</f>
        <v>167</v>
      </c>
      <c r="AE23" s="31">
        <f aca="true" t="shared" si="20" ref="AE23:AE26">ROUND(AD23*0.226,0)</f>
        <v>38</v>
      </c>
      <c r="AF23" s="31">
        <f aca="true" t="shared" si="21" ref="AF23:AF26">AD23-AE23</f>
        <v>129</v>
      </c>
      <c r="AG23" s="77"/>
    </row>
    <row r="24" spans="1:33" ht="15">
      <c r="A24" s="8">
        <v>15</v>
      </c>
      <c r="B24" s="16" t="s">
        <v>95</v>
      </c>
      <c r="C24" s="8" t="s">
        <v>96</v>
      </c>
      <c r="D24" s="17">
        <v>988</v>
      </c>
      <c r="E24" s="17"/>
      <c r="F24" s="17">
        <v>313</v>
      </c>
      <c r="G24" s="17"/>
      <c r="H24" s="17">
        <v>369</v>
      </c>
      <c r="I24" s="17">
        <v>0</v>
      </c>
      <c r="J24" s="17">
        <f t="shared" si="2"/>
        <v>1044</v>
      </c>
      <c r="K24" s="17"/>
      <c r="L24" s="17">
        <v>13</v>
      </c>
      <c r="M24" s="17"/>
      <c r="N24" s="30">
        <f t="shared" si="4"/>
        <v>26</v>
      </c>
      <c r="O24" s="30"/>
      <c r="P24" s="31">
        <f t="shared" si="6"/>
        <v>418</v>
      </c>
      <c r="Q24" s="31"/>
      <c r="R24" s="52">
        <f t="shared" si="8"/>
        <v>334.40000000000003</v>
      </c>
      <c r="S24" s="30"/>
      <c r="T24" s="17">
        <v>971</v>
      </c>
      <c r="U24" s="17">
        <v>0</v>
      </c>
      <c r="V24" s="30">
        <f t="shared" si="10"/>
        <v>1027</v>
      </c>
      <c r="W24" s="30"/>
      <c r="X24" s="53">
        <f t="shared" si="12"/>
        <v>599.4</v>
      </c>
      <c r="Y24" s="77">
        <f t="shared" si="13"/>
        <v>599.4</v>
      </c>
      <c r="Z24" s="77">
        <f t="shared" si="14"/>
        <v>959.8</v>
      </c>
      <c r="AA24" s="77"/>
      <c r="AB24" s="31">
        <v>818</v>
      </c>
      <c r="AC24" s="78">
        <f t="shared" si="15"/>
        <v>141.79999999999995</v>
      </c>
      <c r="AD24" s="30">
        <f t="shared" si="19"/>
        <v>142</v>
      </c>
      <c r="AE24" s="31">
        <f>ROUND(AD24*0.226,0)-1</f>
        <v>31</v>
      </c>
      <c r="AF24" s="31">
        <f t="shared" si="21"/>
        <v>111</v>
      </c>
      <c r="AG24" s="77"/>
    </row>
    <row r="25" spans="1:33" ht="15">
      <c r="A25" s="8">
        <v>16</v>
      </c>
      <c r="B25" s="16" t="s">
        <v>97</v>
      </c>
      <c r="C25" s="8" t="s">
        <v>98</v>
      </c>
      <c r="D25" s="17">
        <v>1546</v>
      </c>
      <c r="E25" s="17"/>
      <c r="F25" s="17">
        <v>453</v>
      </c>
      <c r="G25" s="17"/>
      <c r="H25" s="17">
        <v>775</v>
      </c>
      <c r="I25" s="17"/>
      <c r="J25" s="17">
        <f t="shared" si="2"/>
        <v>1868</v>
      </c>
      <c r="K25" s="17"/>
      <c r="L25" s="17">
        <v>22</v>
      </c>
      <c r="M25" s="17"/>
      <c r="N25" s="30">
        <f t="shared" si="4"/>
        <v>44</v>
      </c>
      <c r="O25" s="30"/>
      <c r="P25" s="31">
        <f t="shared" si="6"/>
        <v>747</v>
      </c>
      <c r="Q25" s="31"/>
      <c r="R25" s="52">
        <f t="shared" si="8"/>
        <v>597.6</v>
      </c>
      <c r="S25" s="30"/>
      <c r="T25" s="17">
        <v>1535</v>
      </c>
      <c r="U25" s="17">
        <v>0</v>
      </c>
      <c r="V25" s="30">
        <f t="shared" si="10"/>
        <v>1857</v>
      </c>
      <c r="W25" s="30"/>
      <c r="X25" s="53">
        <f t="shared" si="12"/>
        <v>1017.5999999999999</v>
      </c>
      <c r="Y25" s="77">
        <f t="shared" si="13"/>
        <v>1017.5999999999999</v>
      </c>
      <c r="Z25" s="77">
        <f t="shared" si="14"/>
        <v>1659.1999999999998</v>
      </c>
      <c r="AA25" s="77"/>
      <c r="AB25" s="31">
        <v>1209</v>
      </c>
      <c r="AC25" s="78">
        <f t="shared" si="15"/>
        <v>450.1999999999998</v>
      </c>
      <c r="AD25" s="30">
        <f t="shared" si="19"/>
        <v>450</v>
      </c>
      <c r="AE25" s="31">
        <f t="shared" si="20"/>
        <v>102</v>
      </c>
      <c r="AF25" s="31">
        <f t="shared" si="21"/>
        <v>348</v>
      </c>
      <c r="AG25" s="77"/>
    </row>
    <row r="26" spans="1:33" ht="15">
      <c r="A26" s="8">
        <v>17</v>
      </c>
      <c r="B26" s="16" t="s">
        <v>99</v>
      </c>
      <c r="C26" s="8" t="s">
        <v>100</v>
      </c>
      <c r="D26" s="17">
        <v>347</v>
      </c>
      <c r="E26" s="17"/>
      <c r="F26" s="17">
        <v>165</v>
      </c>
      <c r="G26" s="17"/>
      <c r="H26" s="17">
        <v>203</v>
      </c>
      <c r="I26" s="17">
        <v>0</v>
      </c>
      <c r="J26" s="17">
        <f t="shared" si="2"/>
        <v>385</v>
      </c>
      <c r="K26" s="17"/>
      <c r="L26" s="17">
        <v>5</v>
      </c>
      <c r="M26" s="17"/>
      <c r="N26" s="30">
        <f t="shared" si="4"/>
        <v>10</v>
      </c>
      <c r="O26" s="30"/>
      <c r="P26" s="31">
        <f t="shared" si="6"/>
        <v>154</v>
      </c>
      <c r="Q26" s="31"/>
      <c r="R26" s="52">
        <f t="shared" si="8"/>
        <v>123.2</v>
      </c>
      <c r="S26" s="30"/>
      <c r="T26" s="17">
        <v>347</v>
      </c>
      <c r="U26" s="17">
        <v>0</v>
      </c>
      <c r="V26" s="30">
        <f t="shared" si="10"/>
        <v>385</v>
      </c>
      <c r="W26" s="30"/>
      <c r="X26" s="53">
        <f t="shared" si="12"/>
        <v>219.6</v>
      </c>
      <c r="Y26" s="77">
        <f t="shared" si="13"/>
        <v>219.6</v>
      </c>
      <c r="Z26" s="77">
        <f t="shared" si="14"/>
        <v>352.79999999999995</v>
      </c>
      <c r="AA26" s="77"/>
      <c r="AB26" s="31">
        <v>0</v>
      </c>
      <c r="AC26" s="78">
        <f t="shared" si="15"/>
        <v>352.79999999999995</v>
      </c>
      <c r="AD26" s="30">
        <f t="shared" si="19"/>
        <v>353</v>
      </c>
      <c r="AE26" s="31">
        <f t="shared" si="20"/>
        <v>80</v>
      </c>
      <c r="AF26" s="31">
        <f t="shared" si="21"/>
        <v>273</v>
      </c>
      <c r="AG26" s="77"/>
    </row>
    <row r="27" spans="1:33" ht="15">
      <c r="A27" s="18"/>
      <c r="B27" s="19" t="s">
        <v>101</v>
      </c>
      <c r="C27" s="20"/>
      <c r="D27" s="15">
        <f aca="true" t="shared" si="22" ref="D27:O27">D28+D31+D33+D35</f>
        <v>14578</v>
      </c>
      <c r="E27" s="15">
        <f t="shared" si="22"/>
        <v>693</v>
      </c>
      <c r="F27" s="15">
        <f t="shared" si="22"/>
        <v>4602</v>
      </c>
      <c r="G27" s="15">
        <f t="shared" si="22"/>
        <v>121</v>
      </c>
      <c r="H27" s="15">
        <f t="shared" si="22"/>
        <v>6333</v>
      </c>
      <c r="I27" s="15">
        <f t="shared" si="22"/>
        <v>345</v>
      </c>
      <c r="J27" s="15">
        <f t="shared" si="22"/>
        <v>16309</v>
      </c>
      <c r="K27" s="15">
        <f t="shared" si="22"/>
        <v>917</v>
      </c>
      <c r="L27" s="15">
        <f t="shared" si="22"/>
        <v>191</v>
      </c>
      <c r="M27" s="15">
        <f t="shared" si="22"/>
        <v>18</v>
      </c>
      <c r="N27" s="28">
        <f t="shared" si="22"/>
        <v>382</v>
      </c>
      <c r="O27" s="28">
        <f t="shared" si="22"/>
        <v>54</v>
      </c>
      <c r="P27" s="32"/>
      <c r="Q27" s="32"/>
      <c r="R27" s="50"/>
      <c r="S27" s="28"/>
      <c r="T27" s="29">
        <f aca="true" t="shared" si="23" ref="T27:AG27">T28+T31+T33+T35</f>
        <v>14486</v>
      </c>
      <c r="U27" s="29">
        <f t="shared" si="23"/>
        <v>595</v>
      </c>
      <c r="V27" s="29">
        <f t="shared" si="23"/>
        <v>16217</v>
      </c>
      <c r="W27" s="29">
        <f t="shared" si="23"/>
        <v>819</v>
      </c>
      <c r="X27" s="51">
        <f t="shared" si="23"/>
        <v>10129.999999999998</v>
      </c>
      <c r="Y27" s="75">
        <f t="shared" si="23"/>
        <v>3038.9999999999995</v>
      </c>
      <c r="Z27" s="75">
        <f t="shared" si="23"/>
        <v>3474.9999999999995</v>
      </c>
      <c r="AA27" s="75">
        <f t="shared" si="23"/>
        <v>2.33</v>
      </c>
      <c r="AB27" s="29">
        <f t="shared" si="23"/>
        <v>2773</v>
      </c>
      <c r="AC27" s="76">
        <f t="shared" si="23"/>
        <v>699.67</v>
      </c>
      <c r="AD27" s="28">
        <f t="shared" si="23"/>
        <v>700</v>
      </c>
      <c r="AE27" s="29">
        <f t="shared" si="23"/>
        <v>156</v>
      </c>
      <c r="AF27" s="29">
        <f t="shared" si="23"/>
        <v>544</v>
      </c>
      <c r="AG27" s="75">
        <f t="shared" si="23"/>
        <v>0</v>
      </c>
    </row>
    <row r="28" spans="1:33" ht="15">
      <c r="A28" s="18"/>
      <c r="B28" s="20" t="s">
        <v>102</v>
      </c>
      <c r="C28" s="20"/>
      <c r="D28" s="15">
        <f aca="true" t="shared" si="24" ref="D28:O28">SUM(D29:D30)</f>
        <v>10796</v>
      </c>
      <c r="E28" s="15">
        <f t="shared" si="24"/>
        <v>693</v>
      </c>
      <c r="F28" s="15">
        <f t="shared" si="24"/>
        <v>3466</v>
      </c>
      <c r="G28" s="15">
        <f t="shared" si="24"/>
        <v>121</v>
      </c>
      <c r="H28" s="15">
        <f t="shared" si="24"/>
        <v>4693</v>
      </c>
      <c r="I28" s="15">
        <f t="shared" si="24"/>
        <v>345</v>
      </c>
      <c r="J28" s="15">
        <f t="shared" si="24"/>
        <v>12023</v>
      </c>
      <c r="K28" s="15">
        <f t="shared" si="24"/>
        <v>917</v>
      </c>
      <c r="L28" s="15">
        <f t="shared" si="24"/>
        <v>140</v>
      </c>
      <c r="M28" s="15">
        <f t="shared" si="24"/>
        <v>18</v>
      </c>
      <c r="N28" s="28">
        <f t="shared" si="24"/>
        <v>280</v>
      </c>
      <c r="O28" s="28">
        <f t="shared" si="24"/>
        <v>54</v>
      </c>
      <c r="P28" s="32"/>
      <c r="Q28" s="32"/>
      <c r="R28" s="50"/>
      <c r="S28" s="28"/>
      <c r="T28" s="29">
        <f aca="true" t="shared" si="25" ref="T28:AG28">SUM(T29:T30)</f>
        <v>10737</v>
      </c>
      <c r="U28" s="29">
        <f t="shared" si="25"/>
        <v>595</v>
      </c>
      <c r="V28" s="29">
        <f t="shared" si="25"/>
        <v>11964</v>
      </c>
      <c r="W28" s="29">
        <f t="shared" si="25"/>
        <v>819</v>
      </c>
      <c r="X28" s="51">
        <f t="shared" si="25"/>
        <v>7729.4</v>
      </c>
      <c r="Y28" s="75">
        <f t="shared" si="25"/>
        <v>2318.8199999999997</v>
      </c>
      <c r="Z28" s="75">
        <f t="shared" si="25"/>
        <v>2652.8199999999997</v>
      </c>
      <c r="AA28" s="75">
        <f t="shared" si="25"/>
        <v>0</v>
      </c>
      <c r="AB28" s="29">
        <f t="shared" si="25"/>
        <v>2111</v>
      </c>
      <c r="AC28" s="76">
        <f t="shared" si="25"/>
        <v>541.8199999999999</v>
      </c>
      <c r="AD28" s="28">
        <f t="shared" si="25"/>
        <v>542</v>
      </c>
      <c r="AE28" s="29">
        <f t="shared" si="25"/>
        <v>122</v>
      </c>
      <c r="AF28" s="29">
        <f t="shared" si="25"/>
        <v>420</v>
      </c>
      <c r="AG28" s="75">
        <f t="shared" si="25"/>
        <v>0</v>
      </c>
    </row>
    <row r="29" spans="1:33" ht="24">
      <c r="A29" s="8">
        <v>18</v>
      </c>
      <c r="B29" s="16" t="s">
        <v>103</v>
      </c>
      <c r="C29" s="8" t="s">
        <v>104</v>
      </c>
      <c r="D29" s="17">
        <v>6656</v>
      </c>
      <c r="E29" s="17">
        <v>288</v>
      </c>
      <c r="F29" s="17">
        <v>2236</v>
      </c>
      <c r="G29" s="17">
        <v>20</v>
      </c>
      <c r="H29" s="17">
        <v>3000</v>
      </c>
      <c r="I29" s="17">
        <v>145</v>
      </c>
      <c r="J29" s="17">
        <f aca="true" t="shared" si="26" ref="J29:J32">D29-F29+H29</f>
        <v>7420</v>
      </c>
      <c r="K29" s="17">
        <f>E29-G29+I29</f>
        <v>413</v>
      </c>
      <c r="L29" s="17">
        <v>86</v>
      </c>
      <c r="M29" s="33">
        <v>9</v>
      </c>
      <c r="N29" s="30">
        <f aca="true" t="shared" si="27" ref="N29:N32">L29*2</f>
        <v>172</v>
      </c>
      <c r="O29" s="30">
        <f>M29*3</f>
        <v>27</v>
      </c>
      <c r="P29" s="31"/>
      <c r="Q29" s="31"/>
      <c r="R29" s="52"/>
      <c r="S29" s="30"/>
      <c r="T29" s="17">
        <v>6638</v>
      </c>
      <c r="U29" s="17">
        <v>244</v>
      </c>
      <c r="V29" s="30">
        <f aca="true" t="shared" si="28" ref="V29:V32">ROUNDDOWN(T29-F29+H29,0)</f>
        <v>7402</v>
      </c>
      <c r="W29" s="30">
        <f>ROUNDDOWN(U29-G29+I29,0)</f>
        <v>369</v>
      </c>
      <c r="X29" s="53">
        <f aca="true" t="shared" si="29" ref="X29:X32">(T29+V29)*0.3+(U29+W29)*0.65</f>
        <v>4610.45</v>
      </c>
      <c r="Y29" s="77">
        <f aca="true" t="shared" si="30" ref="Y29:Y32">X29*0.3</f>
        <v>1383.135</v>
      </c>
      <c r="Z29" s="77">
        <f aca="true" t="shared" si="31" ref="Z29:Z32">N29+O29+R29+S29+Y29</f>
        <v>1582.135</v>
      </c>
      <c r="AA29" s="77"/>
      <c r="AB29" s="31">
        <v>1263</v>
      </c>
      <c r="AC29" s="78">
        <f aca="true" t="shared" si="32" ref="AC29:AC32">Z29-AA29-AB29</f>
        <v>319.135</v>
      </c>
      <c r="AD29" s="30">
        <f aca="true" t="shared" si="33" ref="AD29:AD32">ROUND(AC29,0)</f>
        <v>319</v>
      </c>
      <c r="AE29" s="31">
        <f aca="true" t="shared" si="34" ref="AE29:AE32">ROUNDDOWN(AD29*0.226,0)</f>
        <v>72</v>
      </c>
      <c r="AF29" s="31">
        <f aca="true" t="shared" si="35" ref="AF29:AF32">AD29-AE29</f>
        <v>247</v>
      </c>
      <c r="AG29" s="77"/>
    </row>
    <row r="30" spans="1:33" ht="24">
      <c r="A30" s="8">
        <v>19</v>
      </c>
      <c r="B30" s="16" t="s">
        <v>105</v>
      </c>
      <c r="C30" s="8" t="s">
        <v>104</v>
      </c>
      <c r="D30" s="17">
        <v>4140</v>
      </c>
      <c r="E30" s="17">
        <v>405</v>
      </c>
      <c r="F30" s="17">
        <v>1230</v>
      </c>
      <c r="G30" s="17">
        <v>101</v>
      </c>
      <c r="H30" s="17">
        <v>1693</v>
      </c>
      <c r="I30" s="17">
        <v>200</v>
      </c>
      <c r="J30" s="17">
        <f t="shared" si="26"/>
        <v>4603</v>
      </c>
      <c r="K30" s="17">
        <f>E30-G30+I30</f>
        <v>504</v>
      </c>
      <c r="L30" s="17">
        <v>54</v>
      </c>
      <c r="M30" s="33">
        <v>9</v>
      </c>
      <c r="N30" s="30">
        <f t="shared" si="27"/>
        <v>108</v>
      </c>
      <c r="O30" s="30">
        <f>M30*3</f>
        <v>27</v>
      </c>
      <c r="P30" s="31"/>
      <c r="Q30" s="31"/>
      <c r="R30" s="52"/>
      <c r="S30" s="30"/>
      <c r="T30" s="17">
        <v>4099</v>
      </c>
      <c r="U30" s="17">
        <v>351</v>
      </c>
      <c r="V30" s="30">
        <f t="shared" si="28"/>
        <v>4562</v>
      </c>
      <c r="W30" s="30">
        <f>ROUNDDOWN(U30-G30+I30,0)</f>
        <v>450</v>
      </c>
      <c r="X30" s="53">
        <f t="shared" si="29"/>
        <v>3118.95</v>
      </c>
      <c r="Y30" s="77">
        <f t="shared" si="30"/>
        <v>935.685</v>
      </c>
      <c r="Z30" s="77">
        <f t="shared" si="31"/>
        <v>1070.685</v>
      </c>
      <c r="AA30" s="77"/>
      <c r="AB30" s="31">
        <v>848</v>
      </c>
      <c r="AC30" s="78">
        <f t="shared" si="32"/>
        <v>222.68499999999995</v>
      </c>
      <c r="AD30" s="30">
        <f t="shared" si="33"/>
        <v>223</v>
      </c>
      <c r="AE30" s="31">
        <f t="shared" si="34"/>
        <v>50</v>
      </c>
      <c r="AF30" s="31">
        <f t="shared" si="35"/>
        <v>173</v>
      </c>
      <c r="AG30" s="77"/>
    </row>
    <row r="31" spans="1:33" ht="15">
      <c r="A31" s="18"/>
      <c r="B31" s="20" t="s">
        <v>106</v>
      </c>
      <c r="C31" s="20"/>
      <c r="D31" s="15">
        <f aca="true" t="shared" si="36" ref="D31:H31">D32</f>
        <v>1842</v>
      </c>
      <c r="E31" s="15"/>
      <c r="F31" s="15">
        <f t="shared" si="36"/>
        <v>554</v>
      </c>
      <c r="G31" s="15"/>
      <c r="H31" s="15">
        <f t="shared" si="36"/>
        <v>784</v>
      </c>
      <c r="I31" s="15"/>
      <c r="J31" s="15">
        <f aca="true" t="shared" si="37" ref="J31:N31">J32</f>
        <v>2072</v>
      </c>
      <c r="K31" s="15"/>
      <c r="L31" s="15">
        <f t="shared" si="37"/>
        <v>25</v>
      </c>
      <c r="M31" s="34"/>
      <c r="N31" s="28">
        <f t="shared" si="37"/>
        <v>50</v>
      </c>
      <c r="O31" s="28"/>
      <c r="P31" s="32"/>
      <c r="Q31" s="32"/>
      <c r="R31" s="50"/>
      <c r="S31" s="28"/>
      <c r="T31" s="15">
        <f aca="true" t="shared" si="38" ref="T31:AG31">T32</f>
        <v>1833</v>
      </c>
      <c r="U31" s="15"/>
      <c r="V31" s="15">
        <f t="shared" si="38"/>
        <v>2063</v>
      </c>
      <c r="W31" s="54"/>
      <c r="X31" s="51">
        <f t="shared" si="38"/>
        <v>1168.8</v>
      </c>
      <c r="Y31" s="75">
        <f t="shared" si="38"/>
        <v>350.64</v>
      </c>
      <c r="Z31" s="75">
        <f t="shared" si="38"/>
        <v>400.64</v>
      </c>
      <c r="AA31" s="75">
        <f t="shared" si="38"/>
        <v>0</v>
      </c>
      <c r="AB31" s="29">
        <f t="shared" si="38"/>
        <v>334</v>
      </c>
      <c r="AC31" s="76">
        <f t="shared" si="38"/>
        <v>66.63999999999999</v>
      </c>
      <c r="AD31" s="28">
        <f t="shared" si="38"/>
        <v>67</v>
      </c>
      <c r="AE31" s="29">
        <f t="shared" si="38"/>
        <v>15</v>
      </c>
      <c r="AF31" s="29">
        <f t="shared" si="38"/>
        <v>52</v>
      </c>
      <c r="AG31" s="75">
        <f t="shared" si="38"/>
        <v>0</v>
      </c>
    </row>
    <row r="32" spans="1:33" ht="24">
      <c r="A32" s="8">
        <v>20</v>
      </c>
      <c r="B32" s="16" t="s">
        <v>107</v>
      </c>
      <c r="C32" s="8" t="s">
        <v>108</v>
      </c>
      <c r="D32" s="17">
        <v>1842</v>
      </c>
      <c r="E32" s="17"/>
      <c r="F32" s="17">
        <v>554</v>
      </c>
      <c r="G32" s="17"/>
      <c r="H32" s="17">
        <v>784</v>
      </c>
      <c r="I32" s="17"/>
      <c r="J32" s="17">
        <f t="shared" si="26"/>
        <v>2072</v>
      </c>
      <c r="K32" s="17"/>
      <c r="L32" s="17">
        <v>25</v>
      </c>
      <c r="M32" s="17"/>
      <c r="N32" s="30">
        <f t="shared" si="27"/>
        <v>50</v>
      </c>
      <c r="O32" s="30"/>
      <c r="P32" s="31"/>
      <c r="Q32" s="31"/>
      <c r="R32" s="52"/>
      <c r="S32" s="30"/>
      <c r="T32" s="17">
        <v>1833</v>
      </c>
      <c r="U32" s="17"/>
      <c r="V32" s="30">
        <f t="shared" si="28"/>
        <v>2063</v>
      </c>
      <c r="W32" s="30"/>
      <c r="X32" s="53">
        <f t="shared" si="29"/>
        <v>1168.8</v>
      </c>
      <c r="Y32" s="77">
        <f t="shared" si="30"/>
        <v>350.64</v>
      </c>
      <c r="Z32" s="77">
        <f t="shared" si="31"/>
        <v>400.64</v>
      </c>
      <c r="AA32" s="77"/>
      <c r="AB32" s="31">
        <v>334</v>
      </c>
      <c r="AC32" s="78">
        <f t="shared" si="32"/>
        <v>66.63999999999999</v>
      </c>
      <c r="AD32" s="30">
        <f t="shared" si="33"/>
        <v>67</v>
      </c>
      <c r="AE32" s="31">
        <f t="shared" si="34"/>
        <v>15</v>
      </c>
      <c r="AF32" s="31">
        <f t="shared" si="35"/>
        <v>52</v>
      </c>
      <c r="AG32" s="77"/>
    </row>
    <row r="33" spans="1:33" ht="15">
      <c r="A33" s="18"/>
      <c r="B33" s="20" t="s">
        <v>109</v>
      </c>
      <c r="C33" s="20"/>
      <c r="D33" s="15">
        <f aca="true" t="shared" si="39" ref="D33:H33">D34</f>
        <v>679</v>
      </c>
      <c r="E33" s="15"/>
      <c r="F33" s="15">
        <f t="shared" si="39"/>
        <v>183</v>
      </c>
      <c r="G33" s="15"/>
      <c r="H33" s="15">
        <f t="shared" si="39"/>
        <v>375</v>
      </c>
      <c r="I33" s="15"/>
      <c r="J33" s="15">
        <f aca="true" t="shared" si="40" ref="J33:N33">J34</f>
        <v>871</v>
      </c>
      <c r="K33" s="15"/>
      <c r="L33" s="15">
        <f t="shared" si="40"/>
        <v>10</v>
      </c>
      <c r="M33" s="34"/>
      <c r="N33" s="28">
        <f t="shared" si="40"/>
        <v>20</v>
      </c>
      <c r="O33" s="28"/>
      <c r="P33" s="32"/>
      <c r="Q33" s="32"/>
      <c r="R33" s="50"/>
      <c r="S33" s="28"/>
      <c r="T33" s="15">
        <f aca="true" t="shared" si="41" ref="T33:AG33">T34</f>
        <v>678</v>
      </c>
      <c r="U33" s="15"/>
      <c r="V33" s="15">
        <f t="shared" si="41"/>
        <v>870</v>
      </c>
      <c r="W33" s="54"/>
      <c r="X33" s="51">
        <f t="shared" si="41"/>
        <v>464.4</v>
      </c>
      <c r="Y33" s="75">
        <f t="shared" si="41"/>
        <v>139.32</v>
      </c>
      <c r="Z33" s="75">
        <f t="shared" si="41"/>
        <v>159.32</v>
      </c>
      <c r="AA33" s="75">
        <f t="shared" si="41"/>
        <v>0</v>
      </c>
      <c r="AB33" s="29">
        <f t="shared" si="41"/>
        <v>112</v>
      </c>
      <c r="AC33" s="76">
        <f t="shared" si="41"/>
        <v>47.31999999999999</v>
      </c>
      <c r="AD33" s="28">
        <f t="shared" si="41"/>
        <v>47</v>
      </c>
      <c r="AE33" s="29">
        <f t="shared" si="41"/>
        <v>10</v>
      </c>
      <c r="AF33" s="29">
        <f t="shared" si="41"/>
        <v>37</v>
      </c>
      <c r="AG33" s="75">
        <f t="shared" si="41"/>
        <v>0</v>
      </c>
    </row>
    <row r="34" spans="1:33" ht="15">
      <c r="A34" s="8">
        <v>21</v>
      </c>
      <c r="B34" s="16" t="s">
        <v>110</v>
      </c>
      <c r="C34" s="8">
        <v>441900000</v>
      </c>
      <c r="D34" s="17">
        <v>679</v>
      </c>
      <c r="E34" s="17"/>
      <c r="F34" s="17">
        <v>183</v>
      </c>
      <c r="G34" s="17"/>
      <c r="H34" s="17">
        <v>375</v>
      </c>
      <c r="I34" s="17"/>
      <c r="J34" s="17">
        <f aca="true" t="shared" si="42" ref="J34:J40">D34-F34+H34</f>
        <v>871</v>
      </c>
      <c r="K34" s="17"/>
      <c r="L34" s="17">
        <v>10</v>
      </c>
      <c r="M34" s="17"/>
      <c r="N34" s="30">
        <f aca="true" t="shared" si="43" ref="N34:N40">L34*2</f>
        <v>20</v>
      </c>
      <c r="O34" s="30"/>
      <c r="P34" s="31"/>
      <c r="Q34" s="31"/>
      <c r="R34" s="52"/>
      <c r="S34" s="30"/>
      <c r="T34" s="17">
        <v>678</v>
      </c>
      <c r="U34" s="17"/>
      <c r="V34" s="30">
        <f aca="true" t="shared" si="44" ref="V34:V40">ROUNDDOWN(T34-F34+H34,0)</f>
        <v>870</v>
      </c>
      <c r="W34" s="30"/>
      <c r="X34" s="53">
        <f aca="true" t="shared" si="45" ref="X34:X40">(T34+V34)*0.3+(U34+W34)*0.65</f>
        <v>464.4</v>
      </c>
      <c r="Y34" s="77">
        <f>X34*0.3</f>
        <v>139.32</v>
      </c>
      <c r="Z34" s="77">
        <f aca="true" t="shared" si="46" ref="Z34:Z40">N34+O34+R34+S34+Y34</f>
        <v>159.32</v>
      </c>
      <c r="AA34" s="77"/>
      <c r="AB34" s="31">
        <v>112</v>
      </c>
      <c r="AC34" s="78">
        <f aca="true" t="shared" si="47" ref="AC34:AC40">Z34-AA34-AB34</f>
        <v>47.31999999999999</v>
      </c>
      <c r="AD34" s="30">
        <f aca="true" t="shared" si="48" ref="AD34:AD38">ROUND(AC34,0)</f>
        <v>47</v>
      </c>
      <c r="AE34" s="31">
        <f aca="true" t="shared" si="49" ref="AE34:AE38">ROUNDDOWN(AD34*0.226,0)</f>
        <v>10</v>
      </c>
      <c r="AF34" s="31">
        <f aca="true" t="shared" si="50" ref="AF34:AF38">AD34-AE34</f>
        <v>37</v>
      </c>
      <c r="AG34" s="77"/>
    </row>
    <row r="35" spans="1:33" ht="15">
      <c r="A35" s="18"/>
      <c r="B35" s="20" t="s">
        <v>111</v>
      </c>
      <c r="C35" s="20"/>
      <c r="D35" s="15">
        <f aca="true" t="shared" si="51" ref="D35:H35">D36</f>
        <v>1261</v>
      </c>
      <c r="E35" s="15"/>
      <c r="F35" s="15">
        <f t="shared" si="51"/>
        <v>399</v>
      </c>
      <c r="G35" s="15"/>
      <c r="H35" s="15">
        <f t="shared" si="51"/>
        <v>481</v>
      </c>
      <c r="I35" s="15"/>
      <c r="J35" s="15">
        <f aca="true" t="shared" si="52" ref="J35:N35">J36</f>
        <v>1343</v>
      </c>
      <c r="K35" s="15"/>
      <c r="L35" s="15">
        <f t="shared" si="52"/>
        <v>16</v>
      </c>
      <c r="M35" s="34"/>
      <c r="N35" s="28">
        <f t="shared" si="52"/>
        <v>32</v>
      </c>
      <c r="O35" s="28"/>
      <c r="P35" s="32"/>
      <c r="Q35" s="32"/>
      <c r="R35" s="50"/>
      <c r="S35" s="28"/>
      <c r="T35" s="15">
        <f aca="true" t="shared" si="53" ref="T35:AG35">T36</f>
        <v>1238</v>
      </c>
      <c r="U35" s="15"/>
      <c r="V35" s="15">
        <f t="shared" si="53"/>
        <v>1320</v>
      </c>
      <c r="W35" s="54"/>
      <c r="X35" s="51">
        <f t="shared" si="53"/>
        <v>767.4</v>
      </c>
      <c r="Y35" s="75">
        <f t="shared" si="53"/>
        <v>230.21999999999997</v>
      </c>
      <c r="Z35" s="75">
        <f t="shared" si="53"/>
        <v>262.21999999999997</v>
      </c>
      <c r="AA35" s="75">
        <f t="shared" si="53"/>
        <v>2.33</v>
      </c>
      <c r="AB35" s="29">
        <f t="shared" si="53"/>
        <v>216</v>
      </c>
      <c r="AC35" s="76">
        <f t="shared" si="53"/>
        <v>43.889999999999986</v>
      </c>
      <c r="AD35" s="28">
        <f t="shared" si="53"/>
        <v>44</v>
      </c>
      <c r="AE35" s="29">
        <f t="shared" si="53"/>
        <v>9</v>
      </c>
      <c r="AF35" s="29">
        <f t="shared" si="53"/>
        <v>35</v>
      </c>
      <c r="AG35" s="75">
        <f t="shared" si="53"/>
        <v>0</v>
      </c>
    </row>
    <row r="36" spans="1:33" ht="15">
      <c r="A36" s="8">
        <v>22</v>
      </c>
      <c r="B36" s="16" t="s">
        <v>112</v>
      </c>
      <c r="C36" s="8">
        <v>440700000</v>
      </c>
      <c r="D36" s="17">
        <v>1261</v>
      </c>
      <c r="E36" s="17"/>
      <c r="F36" s="17">
        <v>399</v>
      </c>
      <c r="G36" s="17"/>
      <c r="H36" s="17">
        <v>481</v>
      </c>
      <c r="I36" s="17"/>
      <c r="J36" s="17">
        <f t="shared" si="42"/>
        <v>1343</v>
      </c>
      <c r="K36" s="17"/>
      <c r="L36" s="17">
        <v>16</v>
      </c>
      <c r="M36" s="17"/>
      <c r="N36" s="30">
        <f t="shared" si="43"/>
        <v>32</v>
      </c>
      <c r="O36" s="30"/>
      <c r="P36" s="31"/>
      <c r="Q36" s="31"/>
      <c r="R36" s="52"/>
      <c r="S36" s="30"/>
      <c r="T36" s="17">
        <v>1238</v>
      </c>
      <c r="U36" s="17"/>
      <c r="V36" s="30">
        <f t="shared" si="44"/>
        <v>1320</v>
      </c>
      <c r="W36" s="30"/>
      <c r="X36" s="53">
        <f t="shared" si="45"/>
        <v>767.4</v>
      </c>
      <c r="Y36" s="77">
        <f>X36*0.3</f>
        <v>230.21999999999997</v>
      </c>
      <c r="Z36" s="77">
        <f t="shared" si="46"/>
        <v>262.21999999999997</v>
      </c>
      <c r="AA36" s="77">
        <v>2.33</v>
      </c>
      <c r="AB36" s="31">
        <v>216</v>
      </c>
      <c r="AC36" s="78">
        <f t="shared" si="47"/>
        <v>43.889999999999986</v>
      </c>
      <c r="AD36" s="30">
        <f t="shared" si="48"/>
        <v>44</v>
      </c>
      <c r="AE36" s="31">
        <f t="shared" si="49"/>
        <v>9</v>
      </c>
      <c r="AF36" s="31">
        <f t="shared" si="50"/>
        <v>35</v>
      </c>
      <c r="AG36" s="77"/>
    </row>
    <row r="37" spans="1:33" ht="15">
      <c r="A37" s="18"/>
      <c r="B37" s="19" t="s">
        <v>113</v>
      </c>
      <c r="C37" s="20"/>
      <c r="D37" s="15">
        <f aca="true" t="shared" si="54" ref="D37:M37">SUM(D38:D40)</f>
        <v>464</v>
      </c>
      <c r="E37" s="15">
        <f t="shared" si="54"/>
        <v>29</v>
      </c>
      <c r="F37" s="15">
        <f t="shared" si="54"/>
        <v>121</v>
      </c>
      <c r="G37" s="15">
        <f t="shared" si="54"/>
        <v>5</v>
      </c>
      <c r="H37" s="15">
        <f t="shared" si="54"/>
        <v>186</v>
      </c>
      <c r="I37" s="15">
        <f t="shared" si="54"/>
        <v>11</v>
      </c>
      <c r="J37" s="15">
        <f t="shared" si="54"/>
        <v>529</v>
      </c>
      <c r="K37" s="15">
        <f t="shared" si="54"/>
        <v>35</v>
      </c>
      <c r="L37" s="15">
        <f t="shared" si="54"/>
        <v>8</v>
      </c>
      <c r="M37" s="15">
        <f t="shared" si="54"/>
        <v>1</v>
      </c>
      <c r="N37" s="28">
        <f aca="true" t="shared" si="55" ref="N37:W37">N38+N39+N40</f>
        <v>16</v>
      </c>
      <c r="O37" s="28">
        <f t="shared" si="55"/>
        <v>3</v>
      </c>
      <c r="P37" s="29">
        <f t="shared" si="55"/>
        <v>211</v>
      </c>
      <c r="Q37" s="29">
        <f t="shared" si="55"/>
        <v>25</v>
      </c>
      <c r="R37" s="50">
        <f t="shared" si="55"/>
        <v>168.8</v>
      </c>
      <c r="S37" s="28">
        <f t="shared" si="55"/>
        <v>25</v>
      </c>
      <c r="T37" s="29">
        <f t="shared" si="55"/>
        <v>429</v>
      </c>
      <c r="U37" s="29">
        <f t="shared" si="55"/>
        <v>18</v>
      </c>
      <c r="V37" s="29">
        <f t="shared" si="55"/>
        <v>494</v>
      </c>
      <c r="W37" s="29">
        <f t="shared" si="55"/>
        <v>24</v>
      </c>
      <c r="X37" s="51">
        <f>SUM(X38:X40)</f>
        <v>304.2</v>
      </c>
      <c r="Y37" s="75">
        <f aca="true" t="shared" si="56" ref="Y37:AG37">Y38+Y39+Y40</f>
        <v>304.2</v>
      </c>
      <c r="Z37" s="75">
        <f t="shared" si="56"/>
        <v>517</v>
      </c>
      <c r="AA37" s="75">
        <f t="shared" si="56"/>
        <v>135</v>
      </c>
      <c r="AB37" s="29">
        <f t="shared" si="56"/>
        <v>387</v>
      </c>
      <c r="AC37" s="76">
        <f t="shared" si="56"/>
        <v>-4.999999999999986</v>
      </c>
      <c r="AD37" s="28">
        <f t="shared" si="56"/>
        <v>44</v>
      </c>
      <c r="AE37" s="29">
        <f t="shared" si="56"/>
        <v>9</v>
      </c>
      <c r="AF37" s="29">
        <f t="shared" si="56"/>
        <v>35</v>
      </c>
      <c r="AG37" s="75">
        <f t="shared" si="56"/>
        <v>48.69999999999999</v>
      </c>
    </row>
    <row r="38" spans="1:33" ht="15">
      <c r="A38" s="8">
        <v>23</v>
      </c>
      <c r="B38" s="16" t="s">
        <v>114</v>
      </c>
      <c r="C38" s="8" t="s">
        <v>115</v>
      </c>
      <c r="D38" s="17">
        <v>81</v>
      </c>
      <c r="E38" s="17"/>
      <c r="F38" s="17">
        <v>28</v>
      </c>
      <c r="G38" s="17"/>
      <c r="H38" s="17">
        <v>28</v>
      </c>
      <c r="I38" s="17"/>
      <c r="J38" s="17">
        <f t="shared" si="42"/>
        <v>81</v>
      </c>
      <c r="K38" s="17"/>
      <c r="L38" s="17">
        <v>2</v>
      </c>
      <c r="M38" s="17"/>
      <c r="N38" s="30">
        <f t="shared" si="43"/>
        <v>4</v>
      </c>
      <c r="O38" s="30"/>
      <c r="P38" s="31">
        <f aca="true" t="shared" si="57" ref="P38:P40">ROUND(J38*0.4,0)</f>
        <v>32</v>
      </c>
      <c r="Q38" s="31"/>
      <c r="R38" s="52">
        <f aca="true" t="shared" si="58" ref="R38:R40">P38*0.8</f>
        <v>25.6</v>
      </c>
      <c r="S38" s="30"/>
      <c r="T38" s="17">
        <v>81</v>
      </c>
      <c r="U38" s="17"/>
      <c r="V38" s="30">
        <f t="shared" si="44"/>
        <v>81</v>
      </c>
      <c r="W38" s="30"/>
      <c r="X38" s="53">
        <f t="shared" si="45"/>
        <v>48.6</v>
      </c>
      <c r="Y38" s="77">
        <f aca="true" t="shared" si="59" ref="Y38:Y40">X38</f>
        <v>48.6</v>
      </c>
      <c r="Z38" s="77">
        <f t="shared" si="46"/>
        <v>78.2</v>
      </c>
      <c r="AA38" s="77"/>
      <c r="AB38" s="31">
        <v>72</v>
      </c>
      <c r="AC38" s="78">
        <f t="shared" si="47"/>
        <v>6.200000000000003</v>
      </c>
      <c r="AD38" s="30">
        <f t="shared" si="48"/>
        <v>6</v>
      </c>
      <c r="AE38" s="31">
        <f t="shared" si="49"/>
        <v>1</v>
      </c>
      <c r="AF38" s="31">
        <f t="shared" si="50"/>
        <v>5</v>
      </c>
      <c r="AG38" s="77"/>
    </row>
    <row r="39" spans="1:33" ht="24">
      <c r="A39" s="8">
        <v>24</v>
      </c>
      <c r="B39" s="16" t="s">
        <v>116</v>
      </c>
      <c r="C39" s="8" t="s">
        <v>117</v>
      </c>
      <c r="D39" s="17">
        <v>218</v>
      </c>
      <c r="E39" s="17">
        <v>29</v>
      </c>
      <c r="F39" s="17">
        <v>46</v>
      </c>
      <c r="G39" s="17">
        <v>5</v>
      </c>
      <c r="H39" s="17">
        <v>90</v>
      </c>
      <c r="I39" s="17">
        <v>11</v>
      </c>
      <c r="J39" s="17">
        <f t="shared" si="42"/>
        <v>262</v>
      </c>
      <c r="K39" s="17">
        <f>E39-G39+I39</f>
        <v>35</v>
      </c>
      <c r="L39" s="17">
        <v>3</v>
      </c>
      <c r="M39" s="35">
        <v>1</v>
      </c>
      <c r="N39" s="30">
        <f t="shared" si="43"/>
        <v>6</v>
      </c>
      <c r="O39" s="30">
        <f>M39*3</f>
        <v>3</v>
      </c>
      <c r="P39" s="31">
        <f t="shared" si="57"/>
        <v>105</v>
      </c>
      <c r="Q39" s="31">
        <f>ROUND(K39*0.7,0)</f>
        <v>25</v>
      </c>
      <c r="R39" s="52">
        <f t="shared" si="58"/>
        <v>84</v>
      </c>
      <c r="S39" s="30">
        <f>Q39</f>
        <v>25</v>
      </c>
      <c r="T39" s="17">
        <v>183</v>
      </c>
      <c r="U39" s="17">
        <v>18</v>
      </c>
      <c r="V39" s="30">
        <f t="shared" si="44"/>
        <v>227</v>
      </c>
      <c r="W39" s="30">
        <f>ROUNDDOWN(U39-G39+I39,0)</f>
        <v>24</v>
      </c>
      <c r="X39" s="53">
        <f t="shared" si="45"/>
        <v>150.3</v>
      </c>
      <c r="Y39" s="77">
        <f t="shared" si="59"/>
        <v>150.3</v>
      </c>
      <c r="Z39" s="77">
        <f t="shared" si="46"/>
        <v>268.3</v>
      </c>
      <c r="AA39" s="77">
        <v>135</v>
      </c>
      <c r="AB39" s="31">
        <v>182</v>
      </c>
      <c r="AC39" s="78">
        <f t="shared" si="47"/>
        <v>-48.69999999999999</v>
      </c>
      <c r="AD39" s="30"/>
      <c r="AE39" s="31"/>
      <c r="AF39" s="31"/>
      <c r="AG39" s="77">
        <f>-AC39</f>
        <v>48.69999999999999</v>
      </c>
    </row>
    <row r="40" spans="1:33" ht="15">
      <c r="A40" s="8">
        <v>25</v>
      </c>
      <c r="B40" s="16" t="s">
        <v>118</v>
      </c>
      <c r="C40" s="8" t="s">
        <v>119</v>
      </c>
      <c r="D40" s="17">
        <v>165</v>
      </c>
      <c r="E40" s="17"/>
      <c r="F40" s="17">
        <v>47</v>
      </c>
      <c r="G40" s="17"/>
      <c r="H40" s="17">
        <v>68</v>
      </c>
      <c r="I40" s="17"/>
      <c r="J40" s="17">
        <f t="shared" si="42"/>
        <v>186</v>
      </c>
      <c r="K40" s="17"/>
      <c r="L40" s="17">
        <v>3</v>
      </c>
      <c r="M40" s="17"/>
      <c r="N40" s="30">
        <f t="shared" si="43"/>
        <v>6</v>
      </c>
      <c r="O40" s="30"/>
      <c r="P40" s="31">
        <f t="shared" si="57"/>
        <v>74</v>
      </c>
      <c r="Q40" s="31"/>
      <c r="R40" s="52">
        <f t="shared" si="58"/>
        <v>59.2</v>
      </c>
      <c r="S40" s="30"/>
      <c r="T40" s="17">
        <v>165</v>
      </c>
      <c r="U40" s="17">
        <v>0</v>
      </c>
      <c r="V40" s="30">
        <f t="shared" si="44"/>
        <v>186</v>
      </c>
      <c r="W40" s="30"/>
      <c r="X40" s="53">
        <f t="shared" si="45"/>
        <v>105.3</v>
      </c>
      <c r="Y40" s="77">
        <f t="shared" si="59"/>
        <v>105.3</v>
      </c>
      <c r="Z40" s="77">
        <f t="shared" si="46"/>
        <v>170.5</v>
      </c>
      <c r="AA40" s="77"/>
      <c r="AB40" s="31">
        <v>133</v>
      </c>
      <c r="AC40" s="78">
        <f t="shared" si="47"/>
        <v>37.5</v>
      </c>
      <c r="AD40" s="30">
        <f>ROUND(AC40,0)</f>
        <v>38</v>
      </c>
      <c r="AE40" s="31">
        <f>ROUNDDOWN(AD40*0.226,0)</f>
        <v>8</v>
      </c>
      <c r="AF40" s="31">
        <f>AD40-AE40</f>
        <v>30</v>
      </c>
      <c r="AG40" s="77"/>
    </row>
  </sheetData>
  <sheetProtection/>
  <mergeCells count="26">
    <mergeCell ref="A2:AG2"/>
    <mergeCell ref="L4:O4"/>
    <mergeCell ref="P4:S4"/>
    <mergeCell ref="T4:Y4"/>
    <mergeCell ref="L5:M5"/>
    <mergeCell ref="N5:O5"/>
    <mergeCell ref="P5:Q5"/>
    <mergeCell ref="R5:S5"/>
    <mergeCell ref="T5:U5"/>
    <mergeCell ref="V5:W5"/>
    <mergeCell ref="A8:B8"/>
    <mergeCell ref="A4:A6"/>
    <mergeCell ref="B4:B6"/>
    <mergeCell ref="C4:C6"/>
    <mergeCell ref="X6:X7"/>
    <mergeCell ref="Y5:Y6"/>
    <mergeCell ref="Z4:Z6"/>
    <mergeCell ref="AA4:AA6"/>
    <mergeCell ref="AB4:AB6"/>
    <mergeCell ref="AC4:AC6"/>
    <mergeCell ref="AG4:AG6"/>
    <mergeCell ref="D4:E5"/>
    <mergeCell ref="F4:G5"/>
    <mergeCell ref="H4:I5"/>
    <mergeCell ref="J4:K5"/>
    <mergeCell ref="AD4:AF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许健昶</cp:lastModifiedBy>
  <cp:lastPrinted>2018-12-18T15:09:00Z</cp:lastPrinted>
  <dcterms:created xsi:type="dcterms:W3CDTF">2018-07-03T09:58:00Z</dcterms:created>
  <dcterms:modified xsi:type="dcterms:W3CDTF">2023-05-26T02:24:11Z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D5C95F347F734FD79782164E74AA5A76_13</vt:lpwstr>
  </property>
</Properties>
</file>