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25" windowHeight="9195" tabRatio="770" activeTab="0"/>
  </bookViews>
  <sheets>
    <sheet name="总表(含公式）" sheetId="1" r:id="rId1"/>
    <sheet name="住培" sheetId="2" r:id="rId2"/>
    <sheet name="住培结算" sheetId="3" r:id="rId3"/>
    <sheet name="全科医生培训" sheetId="4" r:id="rId4"/>
    <sheet name="全科医生培训结算" sheetId="5" r:id="rId5"/>
    <sheet name="订单定向" sheetId="6" r:id="rId6"/>
    <sheet name="订单定向结算" sheetId="7" r:id="rId7"/>
    <sheet name="专科特岗" sheetId="8" r:id="rId8"/>
    <sheet name="百名专家下基层" sheetId="9" r:id="rId9"/>
    <sheet name="2021年住培" sheetId="10" state="hidden" r:id="rId10"/>
    <sheet name="2021年全科" sheetId="11" state="hidden" r:id="rId11"/>
    <sheet name="2021.12.20全科招收" sheetId="12" state="hidden" r:id="rId12"/>
    <sheet name="Sheet1" sheetId="13" state="hidden" r:id="rId13"/>
    <sheet name="Sheet2" sheetId="14" state="hidden" r:id="rId14"/>
  </sheets>
  <externalReferences>
    <externalReference r:id="rId17"/>
    <externalReference r:id="rId18"/>
  </externalReferences>
  <definedNames>
    <definedName name="_xlnm.Print_Titles" localSheetId="8">'百名专家下基层'!$4:$4</definedName>
    <definedName name="_xlnm.Print_Titles" localSheetId="6">'订单定向结算'!$4:$6</definedName>
    <definedName name="_xlnm.Print_Titles" localSheetId="3">'全科医生培训'!$4:$6</definedName>
    <definedName name="_xlnm.Print_Titles" localSheetId="4">'全科医生培训结算'!$4:$6</definedName>
    <definedName name="_xlnm.Print_Titles" localSheetId="1">'住培'!$4:$5</definedName>
    <definedName name="_xlnm.Print_Titles" localSheetId="2">'住培结算'!$4:$6</definedName>
    <definedName name="_xlnm.Print_Titles" localSheetId="7">'专科特岗'!$4:$4</definedName>
    <definedName name="_xlnm.Print_Titles" localSheetId="0">'总表(含公式）'!$4:$4</definedName>
  </definedNames>
  <calcPr fullCalcOnLoad="1"/>
</workbook>
</file>

<file path=xl/sharedStrings.xml><?xml version="1.0" encoding="utf-8"?>
<sst xmlns="http://schemas.openxmlformats.org/spreadsheetml/2006/main" count="1202" uniqueCount="504">
  <si>
    <t>附件2</t>
  </si>
  <si>
    <t>2023年基层医疗卫生人才队伍建设资金分配表</t>
  </si>
  <si>
    <t>单位：万元</t>
  </si>
  <si>
    <t>项目单位</t>
  </si>
  <si>
    <t>合计</t>
  </si>
  <si>
    <t>住院医师规范化培训</t>
  </si>
  <si>
    <t>全科医生培训</t>
  </si>
  <si>
    <t>订单定向培养医学大学生</t>
  </si>
  <si>
    <t>县级公立医院专科特设岗位</t>
  </si>
  <si>
    <t>百名首席专家下基层</t>
  </si>
  <si>
    <t>省本级小计</t>
  </si>
  <si>
    <t>省卫生健康委本部</t>
  </si>
  <si>
    <t>广东省人民医院</t>
  </si>
  <si>
    <t>广东省第二人民医院</t>
  </si>
  <si>
    <t>广东省妇幼保健院</t>
  </si>
  <si>
    <t>南方医科大学口腔医院</t>
  </si>
  <si>
    <t>广东医科大学附属医院</t>
  </si>
  <si>
    <t>汕头大学医学院第一附属医院</t>
  </si>
  <si>
    <t>南方医科大学南方医院</t>
  </si>
  <si>
    <t>南方医科大学珠江医院</t>
  </si>
  <si>
    <t>南方医科大学第三附属医院</t>
  </si>
  <si>
    <t>南方医科大学第五附属医院</t>
  </si>
  <si>
    <t>广东药科大学附属第一医院</t>
  </si>
  <si>
    <t>中山大学附属第一医院</t>
  </si>
  <si>
    <t>中山大学孙逸仙纪念医院</t>
  </si>
  <si>
    <t>中山大学附属第三医院</t>
  </si>
  <si>
    <t>中山大学肿瘤防治中心</t>
  </si>
  <si>
    <t>中山大学附属口腔医院</t>
  </si>
  <si>
    <t>中山大学中山眼科中心</t>
  </si>
  <si>
    <t>中山大学附属第六医院</t>
  </si>
  <si>
    <t>暨南大学附属第一医院</t>
  </si>
  <si>
    <t>中国人民解放军南部战区总医院</t>
  </si>
  <si>
    <t>广东省第二中医院</t>
  </si>
  <si>
    <t>广州中医药大学第一附属医院</t>
  </si>
  <si>
    <t>广东省中医院</t>
  </si>
  <si>
    <t>南方医科大学中西医结合医院</t>
  </si>
  <si>
    <t>广州中医药大学第三附属医院</t>
  </si>
  <si>
    <t>南方医科大学</t>
  </si>
  <si>
    <t>广东医科大学</t>
  </si>
  <si>
    <t>广东药科大学</t>
  </si>
  <si>
    <t>广州中医药大学</t>
  </si>
  <si>
    <t>汕头大学医学院</t>
  </si>
  <si>
    <t>地市小计</t>
  </si>
  <si>
    <t>广州市</t>
  </si>
  <si>
    <t>深圳市</t>
  </si>
  <si>
    <t>珠海市</t>
  </si>
  <si>
    <t>汕头市</t>
  </si>
  <si>
    <t>佛山市</t>
  </si>
  <si>
    <t>韶关市</t>
  </si>
  <si>
    <t>河源市</t>
  </si>
  <si>
    <t>梅州市</t>
  </si>
  <si>
    <t>惠州市</t>
  </si>
  <si>
    <t>汕尾市</t>
  </si>
  <si>
    <t>东莞市</t>
  </si>
  <si>
    <t>中山市</t>
  </si>
  <si>
    <t>江门市</t>
  </si>
  <si>
    <t>阳江市</t>
  </si>
  <si>
    <t>湛江市</t>
  </si>
  <si>
    <t>茂名市</t>
  </si>
  <si>
    <t>肇庆市</t>
  </si>
  <si>
    <t>清远市</t>
  </si>
  <si>
    <t>潮州市</t>
  </si>
  <si>
    <t>揭阳市</t>
  </si>
  <si>
    <t>云浮市</t>
  </si>
  <si>
    <t>财政省直管县小计</t>
  </si>
  <si>
    <t>南澳县</t>
  </si>
  <si>
    <t>南雄市</t>
  </si>
  <si>
    <t>仁化县</t>
  </si>
  <si>
    <t>翁源县</t>
  </si>
  <si>
    <t>乳源县</t>
  </si>
  <si>
    <t>龙川县</t>
  </si>
  <si>
    <t>紫金县</t>
  </si>
  <si>
    <t>连平县</t>
  </si>
  <si>
    <t>兴宁市</t>
  </si>
  <si>
    <t>大埔县</t>
  </si>
  <si>
    <t>丰顺县</t>
  </si>
  <si>
    <t>五华县</t>
  </si>
  <si>
    <t>博罗县</t>
  </si>
  <si>
    <t>陆丰市</t>
  </si>
  <si>
    <t>海丰县</t>
  </si>
  <si>
    <t>陆河县</t>
  </si>
  <si>
    <t>阳春市</t>
  </si>
  <si>
    <t>雷州市</t>
  </si>
  <si>
    <t>廉江市</t>
  </si>
  <si>
    <t>徐闻县</t>
  </si>
  <si>
    <t>高州市</t>
  </si>
  <si>
    <t>化州市</t>
  </si>
  <si>
    <t>广宁县</t>
  </si>
  <si>
    <t>德庆县</t>
  </si>
  <si>
    <t>封开县</t>
  </si>
  <si>
    <t>怀集县</t>
  </si>
  <si>
    <t>英德市</t>
  </si>
  <si>
    <t>连山县</t>
  </si>
  <si>
    <t>连南县</t>
  </si>
  <si>
    <t>饶平县</t>
  </si>
  <si>
    <t>普宁市</t>
  </si>
  <si>
    <t>揭西县</t>
  </si>
  <si>
    <t>惠来县</t>
  </si>
  <si>
    <t>罗定市</t>
  </si>
  <si>
    <t>新兴县</t>
  </si>
  <si>
    <t>备注：中国人民解放军南部战区总医院和暨南大学附属第一医院补助资金由广东省卫生健康委转拨。</t>
  </si>
  <si>
    <t>附件2-1</t>
  </si>
  <si>
    <t>2023年住院医师规范化培训（社会人学员）资金测算表</t>
  </si>
  <si>
    <t>2023年预计补助经费</t>
  </si>
  <si>
    <t>骨干师资培训</t>
  </si>
  <si>
    <t>住院医师规范化培训结业考核</t>
  </si>
  <si>
    <t>省级住培管理经费</t>
  </si>
  <si>
    <t>2020-2021年结算金额</t>
  </si>
  <si>
    <t>2023年计划下达金额</t>
  </si>
  <si>
    <t>2021级实际在培人数</t>
  </si>
  <si>
    <t>2022级预计在培人数</t>
  </si>
  <si>
    <t>2023年
计划招收</t>
  </si>
  <si>
    <t>补助金额</t>
  </si>
  <si>
    <t>2023年计划培训人数</t>
  </si>
  <si>
    <t>2023年应拨付补助资金</t>
  </si>
  <si>
    <t>结业理论考核</t>
  </si>
  <si>
    <t>结业技能考核考务经费</t>
  </si>
  <si>
    <t>A栏</t>
  </si>
  <si>
    <t>B栏</t>
  </si>
  <si>
    <t>C栏</t>
  </si>
  <si>
    <t>D栏</t>
  </si>
  <si>
    <t>E栏=（B栏+C栏）*1.5+D栏*0.5</t>
  </si>
  <si>
    <t>F栏</t>
  </si>
  <si>
    <t>G栏=F栏*0.385</t>
  </si>
  <si>
    <t>H栏</t>
  </si>
  <si>
    <t>I栏</t>
  </si>
  <si>
    <t>J栏</t>
  </si>
  <si>
    <t>K栏</t>
  </si>
  <si>
    <t>L栏=ROUND(E栏+G栏+H栏+I栏+J栏+K栏,2）</t>
  </si>
  <si>
    <t>省卫生健康委</t>
  </si>
  <si>
    <t>广东省卫生健康委</t>
  </si>
  <si>
    <t>广东省中医药局</t>
  </si>
  <si>
    <t>广州市卫健委</t>
  </si>
  <si>
    <t>广州医科大学附属脑科医院</t>
  </si>
  <si>
    <t>广州市第一人民医院</t>
  </si>
  <si>
    <t>广州市红十字会医院</t>
  </si>
  <si>
    <t>广州市妇女儿童医疗中心</t>
  </si>
  <si>
    <t>广州医科大学附属第一医院</t>
  </si>
  <si>
    <t>广州医科大学附属第二医院</t>
  </si>
  <si>
    <t>广州医科大学附属第三医院</t>
  </si>
  <si>
    <t>广州医科大学附属肿瘤医院</t>
  </si>
  <si>
    <t>广州市中西医结合医院</t>
  </si>
  <si>
    <t>广州市中医医院</t>
  </si>
  <si>
    <t>深圳市卫健委</t>
  </si>
  <si>
    <t>北京大学深圳医院</t>
  </si>
  <si>
    <t>深圳市人民医院</t>
  </si>
  <si>
    <t>深圳市第二人民医院</t>
  </si>
  <si>
    <t>华中科技大学协和深圳医院（深圳市南山区人民医院）</t>
  </si>
  <si>
    <t>深圳市儿童医院</t>
  </si>
  <si>
    <t>香港大学深圳医院</t>
  </si>
  <si>
    <t>深圳市第三人民医院</t>
  </si>
  <si>
    <t>深圳市罗湖区人民医院</t>
  </si>
  <si>
    <t>深圳市康宁医院</t>
  </si>
  <si>
    <t>广州中医药大学深圳医院（福田）</t>
  </si>
  <si>
    <t>深圳市宝安区中医院</t>
  </si>
  <si>
    <t>深圳市中医院</t>
  </si>
  <si>
    <t>珠海市人民医院</t>
  </si>
  <si>
    <t>中山大学附属第五医院</t>
  </si>
  <si>
    <t>汕头市中心医院</t>
  </si>
  <si>
    <t>汕头市中医医院</t>
  </si>
  <si>
    <t>佛山市第一人民医院</t>
  </si>
  <si>
    <t>南方医科大学顺德医院</t>
  </si>
  <si>
    <t>佛山复星禅诚医院</t>
  </si>
  <si>
    <t>广东省中西医结合医院</t>
  </si>
  <si>
    <t>广州中医药大学顺德医院</t>
  </si>
  <si>
    <t>佛山市中医院</t>
  </si>
  <si>
    <t>粤北人民医院</t>
  </si>
  <si>
    <t>韶关市第一人民医院</t>
  </si>
  <si>
    <t>梅州市人民医院</t>
  </si>
  <si>
    <t>惠州市中心人民医院</t>
  </si>
  <si>
    <t>广州中医药大学惠州医院</t>
  </si>
  <si>
    <t>东莞市人民医院</t>
  </si>
  <si>
    <t>东莞东华医院</t>
  </si>
  <si>
    <t>东莞市中医院</t>
  </si>
  <si>
    <t>中山市人民医院</t>
  </si>
  <si>
    <t>中山市中医院</t>
  </si>
  <si>
    <t>江门市中心医院</t>
  </si>
  <si>
    <t>江门市五邑中医院</t>
  </si>
  <si>
    <t>阳江市人民医院</t>
  </si>
  <si>
    <t>阳江市中医医院</t>
  </si>
  <si>
    <t>湛江中心人民医院</t>
  </si>
  <si>
    <t>茂名市人民医院</t>
  </si>
  <si>
    <t>肇庆市第一人民医院</t>
  </si>
  <si>
    <t>清远市人民医院</t>
  </si>
  <si>
    <t>清远市中医院</t>
  </si>
  <si>
    <t>揭阳市人民医院</t>
  </si>
  <si>
    <t>河源市人民医院</t>
  </si>
  <si>
    <t>汕尾市第二人民医院</t>
  </si>
  <si>
    <t>潮州市中心医院</t>
  </si>
  <si>
    <t>云浮市人民医院</t>
  </si>
  <si>
    <r>
      <t>备注：</t>
    </r>
    <r>
      <rPr>
        <sz val="10"/>
        <rFont val="Times New Roman"/>
        <family val="1"/>
      </rPr>
      <t xml:space="preserve">
1.</t>
    </r>
    <r>
      <rPr>
        <sz val="10"/>
        <rFont val="宋体"/>
        <family val="0"/>
      </rPr>
      <t>补助标准：社会人住院医师规范化培训每人每年</t>
    </r>
    <r>
      <rPr>
        <sz val="10"/>
        <rFont val="Times New Roman"/>
        <family val="1"/>
      </rPr>
      <t>1.5</t>
    </r>
    <r>
      <rPr>
        <sz val="10"/>
        <rFont val="宋体"/>
        <family val="0"/>
      </rPr>
      <t>万元。住培培训年限一般为三年，第一年入培时间为</t>
    </r>
    <r>
      <rPr>
        <sz val="10"/>
        <rFont val="Times New Roman"/>
        <family val="1"/>
      </rPr>
      <t>9</t>
    </r>
    <r>
      <rPr>
        <sz val="10"/>
        <rFont val="宋体"/>
        <family val="0"/>
      </rPr>
      <t>月初。从2022年起，新招收学员仅补助9-12月份经费，即第一年按经费的三分之一予以测算分配，每人每年补助</t>
    </r>
    <r>
      <rPr>
        <sz val="10"/>
        <rFont val="Times New Roman"/>
        <family val="1"/>
      </rPr>
      <t>0.5</t>
    </r>
    <r>
      <rPr>
        <sz val="10"/>
        <rFont val="宋体"/>
        <family val="0"/>
      </rPr>
      <t>万元，第二第三年培训按每人每年补助</t>
    </r>
    <r>
      <rPr>
        <sz val="10"/>
        <rFont val="Times New Roman"/>
        <family val="1"/>
      </rPr>
      <t>1.5</t>
    </r>
    <r>
      <rPr>
        <sz val="10"/>
        <rFont val="宋体"/>
        <family val="0"/>
      </rPr>
      <t>万元。带教师资培训补助金额按照每名师资培训</t>
    </r>
    <r>
      <rPr>
        <sz val="10"/>
        <rFont val="Times New Roman"/>
        <family val="1"/>
      </rPr>
      <t>7</t>
    </r>
    <r>
      <rPr>
        <sz val="10"/>
        <rFont val="宋体"/>
        <family val="0"/>
      </rPr>
      <t>天</t>
    </r>
    <r>
      <rPr>
        <sz val="10"/>
        <rFont val="Times New Roman"/>
        <family val="1"/>
      </rPr>
      <t>(56</t>
    </r>
    <r>
      <rPr>
        <sz val="10"/>
        <rFont val="宋体"/>
        <family val="0"/>
      </rPr>
      <t>学时</t>
    </r>
    <r>
      <rPr>
        <sz val="10"/>
        <rFont val="Times New Roman"/>
        <family val="1"/>
      </rPr>
      <t>)</t>
    </r>
    <r>
      <rPr>
        <sz val="10"/>
        <rFont val="宋体"/>
        <family val="0"/>
      </rPr>
      <t>，每天</t>
    </r>
    <r>
      <rPr>
        <sz val="10"/>
        <rFont val="Times New Roman"/>
        <family val="1"/>
      </rPr>
      <t>550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天标准补助。</t>
    </r>
    <r>
      <rPr>
        <sz val="10"/>
        <rFont val="Times New Roman"/>
        <family val="1"/>
      </rPr>
      <t xml:space="preserve">
2.</t>
    </r>
    <r>
      <rPr>
        <sz val="10"/>
        <rFont val="宋体"/>
        <family val="0"/>
      </rPr>
      <t>省级住培管理经费</t>
    </r>
    <r>
      <rPr>
        <sz val="10"/>
        <rFont val="Times New Roman"/>
        <family val="1"/>
      </rPr>
      <t>150</t>
    </r>
    <r>
      <rPr>
        <sz val="10"/>
        <rFont val="宋体"/>
        <family val="0"/>
      </rPr>
      <t>万元（用于规范化培训基地日常管理和督导、结业考核指导、省级住培信息平台维护、绩效评估及师资培训管理等业务管理）和住培结业技能考核考务经费</t>
    </r>
    <r>
      <rPr>
        <sz val="10"/>
        <rFont val="Times New Roman"/>
        <family val="1"/>
      </rPr>
      <t>200</t>
    </r>
    <r>
      <rPr>
        <sz val="10"/>
        <rFont val="宋体"/>
        <family val="0"/>
      </rPr>
      <t>万元（用于住培结业考核题库建设、组建考官库、准考证制作等管理）均采取招标等方式确定第三方机构承担相关任务。</t>
    </r>
    <r>
      <rPr>
        <sz val="10"/>
        <rFont val="Times New Roman"/>
        <family val="1"/>
      </rPr>
      <t xml:space="preserve">
3.</t>
    </r>
    <r>
      <rPr>
        <sz val="10"/>
        <rFont val="宋体"/>
        <family val="0"/>
      </rPr>
      <t>暨南大学附属第一医院、中国人民解放军南部战区总医院省财政补助资金由省卫生健康委转拨。</t>
    </r>
  </si>
  <si>
    <t>附件2-1-1</t>
  </si>
  <si>
    <t>卫生人才培训项目资金分配测算表（住院医师规范化培训（社会人学员）结算）</t>
  </si>
  <si>
    <t>结算2020年经费</t>
  </si>
  <si>
    <t>结算2021年经费</t>
  </si>
  <si>
    <t xml:space="preserve">平衡2020年经费结算金额
</t>
  </si>
  <si>
    <t>2018级在培人数</t>
  </si>
  <si>
    <t>2019年在培人数</t>
  </si>
  <si>
    <t>2020年
计划招收</t>
  </si>
  <si>
    <t>2018级实际在培人数
（2022提前下达）</t>
  </si>
  <si>
    <t>2019级实际在培人数</t>
  </si>
  <si>
    <t>2020年实际招收人数</t>
  </si>
  <si>
    <t>2020年结算金额</t>
  </si>
  <si>
    <t>2019级在培人数</t>
  </si>
  <si>
    <t>2020级在培人数</t>
  </si>
  <si>
    <t>2021年在培人数</t>
  </si>
  <si>
    <t>2021年应补助金额</t>
  </si>
  <si>
    <t>2021年已拨付金额</t>
  </si>
  <si>
    <t>2021年应结算金额</t>
  </si>
  <si>
    <t>1栏</t>
  </si>
  <si>
    <t>2栏</t>
  </si>
  <si>
    <t>3栏</t>
  </si>
  <si>
    <t>4栏</t>
  </si>
  <si>
    <t>5栏</t>
  </si>
  <si>
    <t>6栏</t>
  </si>
  <si>
    <t>7栏=(（4栏+5栏+6栏）-（1栏+2栏+3栏）)*1.5</t>
  </si>
  <si>
    <t>8栏</t>
  </si>
  <si>
    <t>9栏</t>
  </si>
  <si>
    <t>10栏</t>
  </si>
  <si>
    <t>11栏=（8栏+9栏+10栏）*1.5</t>
  </si>
  <si>
    <t>12栏</t>
  </si>
  <si>
    <t>13栏=11栏-12栏</t>
  </si>
  <si>
    <t>14栏</t>
  </si>
  <si>
    <t>15栏=ROUND（7栏+13栏+14栏，2）</t>
  </si>
  <si>
    <t>地市合计</t>
  </si>
  <si>
    <t>备注：根据省财社【2019】276号为平衡预算，南方医科大学珠江医院、中山大学附属第三医院分别少安排了72万元、157.5万元，本次结算予以补足。</t>
  </si>
  <si>
    <r>
      <t>附件</t>
    </r>
    <r>
      <rPr>
        <sz val="14"/>
        <color indexed="8"/>
        <rFont val="Times New Roman"/>
        <family val="1"/>
      </rPr>
      <t>2-2</t>
    </r>
  </si>
  <si>
    <t>2023年卫生人才培训项目资金分配测算表（全科医生培训）</t>
  </si>
  <si>
    <t>项目单位或地区</t>
  </si>
  <si>
    <t>2023年补助</t>
  </si>
  <si>
    <t>助理全科医生师资</t>
  </si>
  <si>
    <t>2023年补助金额合计</t>
  </si>
  <si>
    <t>2021级在培</t>
  </si>
  <si>
    <t>2022级计划招收</t>
  </si>
  <si>
    <t>2023年计划招收</t>
  </si>
  <si>
    <t>2023年补助金额</t>
  </si>
  <si>
    <t>培训人数</t>
  </si>
  <si>
    <t>5+3学员</t>
  </si>
  <si>
    <t>3+2学员</t>
  </si>
  <si>
    <t>转岗培训</t>
  </si>
  <si>
    <t>岗位培训</t>
  </si>
  <si>
    <t>栏次</t>
  </si>
  <si>
    <t>E栏</t>
  </si>
  <si>
    <t>G栏</t>
  </si>
  <si>
    <t>H栏=（A栏+B栏）*3+C栏*2+D栏*1+E栏*2/3+F栏*2+G栏*1</t>
  </si>
  <si>
    <t>J栏=I栏*0.385</t>
  </si>
  <si>
    <t>L栏=ROUND(H栏+J栏+K栏,2)</t>
  </si>
  <si>
    <t>备注：
1、采取预拨+结算”方式下达，补助标准：全科医生规范化培训3万元/人/年、助理全科医生培训和转岗培训2万元/人/年，岗位培训1万元/人/年。带教师资培训补助标准550元/人/天，共集中培训7天。
2、江门市只补助开平市、台山市和恩平市培训人数。
3.付拨给中山大学附属第五医院助理全科医生师资培训经费，用于全省助理全科医生骨干师资培训。
4、从2023年起，新招收“5+3学员”、“3+2学员”仅补足9-12月份经费。</t>
  </si>
  <si>
    <r>
      <t>附件</t>
    </r>
    <r>
      <rPr>
        <sz val="14"/>
        <color indexed="8"/>
        <rFont val="宋体"/>
        <family val="0"/>
      </rPr>
      <t>2-2-1</t>
    </r>
  </si>
  <si>
    <t>卫生人才培训项目资金分配测算表（全科医生培训结算）</t>
  </si>
  <si>
    <t>2020年结算</t>
  </si>
  <si>
    <t>2021年结算</t>
  </si>
  <si>
    <t>2020年计划招生人数</t>
  </si>
  <si>
    <t>2020年实际招生人数</t>
  </si>
  <si>
    <t>2020年实际结算金额</t>
  </si>
  <si>
    <t>2020年已结算金额</t>
  </si>
  <si>
    <t>2020年应补充结算金额</t>
  </si>
  <si>
    <t>2021年计划招收人数</t>
  </si>
  <si>
    <t>2021级实际招收人数</t>
  </si>
  <si>
    <t>2021年结算金额</t>
  </si>
  <si>
    <t>7栏</t>
  </si>
  <si>
    <t>9栏=（5栏-1栏）*3+（6栏-2栏）*2+（7栏-3栏）*2+（8栏-4栏）*1</t>
  </si>
  <si>
    <t>11栏=9栏-10栏</t>
  </si>
  <si>
    <t>13栏</t>
  </si>
  <si>
    <t>15栏</t>
  </si>
  <si>
    <t>16栏</t>
  </si>
  <si>
    <t>17栏</t>
  </si>
  <si>
    <t>18栏</t>
  </si>
  <si>
    <t>19栏</t>
  </si>
  <si>
    <t>20栏=（16栏-12栏）*3+（17栏-13栏）*2+（18栏-14栏）*2+（19栏-15栏）*1</t>
  </si>
  <si>
    <r>
      <t>21</t>
    </r>
    <r>
      <rPr>
        <sz val="14"/>
        <color indexed="8"/>
        <rFont val="宋体"/>
        <family val="0"/>
      </rPr>
      <t>栏=11栏+20栏</t>
    </r>
  </si>
  <si>
    <t>附件2-3</t>
  </si>
  <si>
    <t>2023年卫生人才培训项目资金分配测算表(订单定向培养农村卫生人才)</t>
  </si>
  <si>
    <t>地市/院校</t>
  </si>
  <si>
    <t>培养专业</t>
  </si>
  <si>
    <t>学历层次</t>
  </si>
  <si>
    <t>补助标准</t>
  </si>
  <si>
    <t>2023年经费补助</t>
  </si>
  <si>
    <t>2021-2022年结算资金总数</t>
  </si>
  <si>
    <t>2023年实际补助金额</t>
  </si>
  <si>
    <t>易方达资金支持</t>
  </si>
  <si>
    <t>学费</t>
  </si>
  <si>
    <t>住宿费</t>
  </si>
  <si>
    <t>生活费</t>
  </si>
  <si>
    <t>2019级在读人数</t>
  </si>
  <si>
    <t xml:space="preserve">2020年在读人数 </t>
  </si>
  <si>
    <t xml:space="preserve">2021年在读人数 </t>
  </si>
  <si>
    <t xml:space="preserve">2022年预计在读人数 </t>
  </si>
  <si>
    <t xml:space="preserve">2023年计划
招生数 </t>
  </si>
  <si>
    <t>2023年应补助
金额</t>
  </si>
  <si>
    <t xml:space="preserve">2022年预计在读人数
</t>
  </si>
  <si>
    <t>2023年计划招生人数</t>
  </si>
  <si>
    <t>2023年应补助金额
（易方达支持）</t>
  </si>
  <si>
    <t>D栏=A栏+B栏+C栏</t>
  </si>
  <si>
    <t>J栏=（E栏+F栏+G栏+H栏）*D栏+I栏*4栏/3</t>
  </si>
  <si>
    <t>L栏=ROUND(J栏+K栏，2）</t>
  </si>
  <si>
    <t>M栏</t>
  </si>
  <si>
    <t>N栏</t>
  </si>
  <si>
    <t>O栏=ROUND(M栏*D栏+N栏*D栏/3,2)</t>
  </si>
  <si>
    <t>针灸推拿</t>
  </si>
  <si>
    <t>专科</t>
  </si>
  <si>
    <t>-</t>
  </si>
  <si>
    <t>韶关学院医学院</t>
  </si>
  <si>
    <t>临床医学</t>
  </si>
  <si>
    <t>本科</t>
  </si>
  <si>
    <t>嘉应学院医学院</t>
  </si>
  <si>
    <t>肇庆医学高等专科学校</t>
  </si>
  <si>
    <t>中医学</t>
  </si>
  <si>
    <t>广东江门中医药职业学院</t>
  </si>
  <si>
    <t>惠州卫生职业技术学院</t>
  </si>
  <si>
    <t>广东茂名健康职业学院</t>
  </si>
  <si>
    <r>
      <t xml:space="preserve">备注：
</t>
    </r>
    <r>
      <rPr>
        <sz val="14"/>
        <rFont val="Times New Roman"/>
        <family val="1"/>
      </rPr>
      <t>1</t>
    </r>
    <r>
      <rPr>
        <sz val="14"/>
        <rFont val="宋体"/>
        <family val="0"/>
      </rPr>
      <t>、采取预拨</t>
    </r>
    <r>
      <rPr>
        <sz val="14"/>
        <rFont val="Times New Roman"/>
        <family val="1"/>
      </rPr>
      <t>+</t>
    </r>
    <r>
      <rPr>
        <sz val="14"/>
        <rFont val="宋体"/>
        <family val="0"/>
      </rPr>
      <t>结算</t>
    </r>
    <r>
      <rPr>
        <sz val="14"/>
        <rFont val="Times New Roman"/>
        <family val="1"/>
      </rPr>
      <t>”</t>
    </r>
    <r>
      <rPr>
        <sz val="14"/>
        <rFont val="宋体"/>
        <family val="0"/>
      </rPr>
      <t>方式下达，补助标准：参照广东省物价部门核定的学费标准、院校当地住宿标准进行精准补助、生活费</t>
    </r>
    <r>
      <rPr>
        <sz val="14"/>
        <rFont val="Times New Roman"/>
        <family val="1"/>
      </rPr>
      <t>6300</t>
    </r>
    <r>
      <rPr>
        <sz val="14"/>
        <rFont val="宋体"/>
        <family val="0"/>
      </rPr>
      <t>元（按</t>
    </r>
    <r>
      <rPr>
        <sz val="14"/>
        <rFont val="Times New Roman"/>
        <family val="1"/>
      </rPr>
      <t>630</t>
    </r>
    <r>
      <rPr>
        <sz val="14"/>
        <rFont val="宋体"/>
        <family val="0"/>
      </rPr>
      <t>元</t>
    </r>
    <r>
      <rPr>
        <sz val="14"/>
        <rFont val="Times New Roman"/>
        <family val="1"/>
      </rPr>
      <t>/</t>
    </r>
    <r>
      <rPr>
        <sz val="14"/>
        <rFont val="宋体"/>
        <family val="0"/>
      </rPr>
      <t>月，每年</t>
    </r>
    <r>
      <rPr>
        <sz val="14"/>
        <rFont val="Times New Roman"/>
        <family val="1"/>
      </rPr>
      <t>10</t>
    </r>
    <r>
      <rPr>
        <sz val="14"/>
        <rFont val="宋体"/>
        <family val="0"/>
      </rPr>
      <t>个月计算）。</t>
    </r>
    <r>
      <rPr>
        <sz val="14"/>
        <rFont val="Times New Roman"/>
        <family val="1"/>
      </rPr>
      <t xml:space="preserve">
2</t>
    </r>
    <r>
      <rPr>
        <sz val="14"/>
        <rFont val="宋体"/>
        <family val="0"/>
      </rPr>
      <t>、从2022年起，新招收订单定向学员仅补足9-12月份经费。</t>
    </r>
  </si>
  <si>
    <t>附件2-3-1</t>
  </si>
  <si>
    <t>卫生人才培训项目资金分配表(订单定向结算)</t>
  </si>
  <si>
    <r>
      <t>地市</t>
    </r>
    <r>
      <rPr>
        <b/>
        <sz val="16"/>
        <rFont val="Times New Roman"/>
        <family val="1"/>
      </rPr>
      <t>/</t>
    </r>
    <r>
      <rPr>
        <b/>
        <sz val="16"/>
        <rFont val="宋体"/>
        <family val="0"/>
      </rPr>
      <t>院校</t>
    </r>
  </si>
  <si>
    <r>
      <t>2022</t>
    </r>
    <r>
      <rPr>
        <b/>
        <sz val="16"/>
        <rFont val="黑体"/>
        <family val="3"/>
      </rPr>
      <t>年经费下达调整</t>
    </r>
  </si>
  <si>
    <r>
      <t>2021</t>
    </r>
    <r>
      <rPr>
        <b/>
        <sz val="16"/>
        <rFont val="黑体"/>
        <family val="3"/>
      </rPr>
      <t>年结算</t>
    </r>
  </si>
  <si>
    <r>
      <t>2021-2022</t>
    </r>
    <r>
      <rPr>
        <b/>
        <sz val="16"/>
        <rFont val="黑体"/>
        <family val="3"/>
      </rPr>
      <t>年结算资金总数</t>
    </r>
  </si>
  <si>
    <t>易方达补助资金</t>
  </si>
  <si>
    <r>
      <t>2018</t>
    </r>
    <r>
      <rPr>
        <b/>
        <sz val="16"/>
        <rFont val="黑体"/>
        <family val="3"/>
      </rPr>
      <t>级在读人数</t>
    </r>
  </si>
  <si>
    <r>
      <t>2019</t>
    </r>
    <r>
      <rPr>
        <b/>
        <sz val="16"/>
        <rFont val="黑体"/>
        <family val="3"/>
      </rPr>
      <t>年在读人数</t>
    </r>
    <r>
      <rPr>
        <b/>
        <sz val="16"/>
        <rFont val="Times New Roman"/>
        <family val="1"/>
      </rPr>
      <t xml:space="preserve"> </t>
    </r>
  </si>
  <si>
    <r>
      <t>2020</t>
    </r>
    <r>
      <rPr>
        <b/>
        <sz val="16"/>
        <rFont val="黑体"/>
        <family val="3"/>
      </rPr>
      <t>年在读人数</t>
    </r>
    <r>
      <rPr>
        <b/>
        <sz val="16"/>
        <rFont val="Times New Roman"/>
        <family val="1"/>
      </rPr>
      <t xml:space="preserve"> </t>
    </r>
  </si>
  <si>
    <r>
      <t>2021</t>
    </r>
    <r>
      <rPr>
        <b/>
        <sz val="16"/>
        <rFont val="黑体"/>
        <family val="3"/>
      </rPr>
      <t>年在读人数</t>
    </r>
    <r>
      <rPr>
        <b/>
        <sz val="16"/>
        <rFont val="Times New Roman"/>
        <family val="1"/>
      </rPr>
      <t xml:space="preserve"> </t>
    </r>
  </si>
  <si>
    <r>
      <t>2022</t>
    </r>
    <r>
      <rPr>
        <b/>
        <sz val="16"/>
        <rFont val="黑体"/>
        <family val="3"/>
      </rPr>
      <t>年计划</t>
    </r>
    <r>
      <rPr>
        <b/>
        <sz val="16"/>
        <rFont val="Times New Roman"/>
        <family val="1"/>
      </rPr>
      <t xml:space="preserve">
</t>
    </r>
    <r>
      <rPr>
        <b/>
        <sz val="16"/>
        <rFont val="黑体"/>
        <family val="3"/>
      </rPr>
      <t>招生数</t>
    </r>
    <r>
      <rPr>
        <b/>
        <sz val="16"/>
        <rFont val="Times New Roman"/>
        <family val="1"/>
      </rPr>
      <t xml:space="preserve"> </t>
    </r>
  </si>
  <si>
    <r>
      <t>2022</t>
    </r>
    <r>
      <rPr>
        <b/>
        <sz val="16"/>
        <rFont val="黑体"/>
        <family val="3"/>
      </rPr>
      <t>年应补助</t>
    </r>
    <r>
      <rPr>
        <b/>
        <sz val="16"/>
        <rFont val="Times New Roman"/>
        <family val="1"/>
      </rPr>
      <t xml:space="preserve">
</t>
    </r>
    <r>
      <rPr>
        <b/>
        <sz val="16"/>
        <rFont val="黑体"/>
        <family val="3"/>
      </rPr>
      <t>金额</t>
    </r>
  </si>
  <si>
    <r>
      <t>2022</t>
    </r>
    <r>
      <rPr>
        <b/>
        <sz val="16"/>
        <rFont val="黑体"/>
        <family val="3"/>
      </rPr>
      <t>年已补助金额</t>
    </r>
  </si>
  <si>
    <r>
      <t>2022</t>
    </r>
    <r>
      <rPr>
        <b/>
        <sz val="16"/>
        <rFont val="黑体"/>
        <family val="3"/>
      </rPr>
      <t>年调整后资金</t>
    </r>
  </si>
  <si>
    <t>经费下达计划招生人数</t>
  </si>
  <si>
    <r>
      <t>2021</t>
    </r>
    <r>
      <rPr>
        <b/>
        <sz val="16"/>
        <rFont val="黑体"/>
        <family val="3"/>
      </rPr>
      <t>年实际在读人数</t>
    </r>
  </si>
  <si>
    <r>
      <t>2021</t>
    </r>
    <r>
      <rPr>
        <b/>
        <sz val="16"/>
        <rFont val="黑体"/>
        <family val="3"/>
      </rPr>
      <t>年结算资金</t>
    </r>
  </si>
  <si>
    <r>
      <t>2022</t>
    </r>
    <r>
      <rPr>
        <b/>
        <sz val="16"/>
        <rFont val="宋体"/>
        <family val="0"/>
      </rPr>
      <t>年计划招收数</t>
    </r>
  </si>
  <si>
    <t>补助资金</t>
  </si>
  <si>
    <t>4栏=1栏+2栏+3栏</t>
  </si>
  <si>
    <t>10栏=（5栏+6栏+7栏+8栏）*4栏+9栏*4栏/3</t>
  </si>
  <si>
    <t>11栏</t>
  </si>
  <si>
    <t>12栏=10栏-11栏</t>
  </si>
  <si>
    <t>15栏=（14栏-13栏）*4栏</t>
  </si>
  <si>
    <t>16栏=12栏+15栏</t>
  </si>
  <si>
    <t>18栏=17栏*4栏/3</t>
  </si>
  <si>
    <r>
      <t>附件2</t>
    </r>
    <r>
      <rPr>
        <sz val="11"/>
        <color indexed="8"/>
        <rFont val="宋体"/>
        <family val="0"/>
      </rPr>
      <t>-4</t>
    </r>
  </si>
  <si>
    <r>
      <t>2023</t>
    </r>
    <r>
      <rPr>
        <b/>
        <sz val="16"/>
        <color indexed="8"/>
        <rFont val="宋体"/>
        <family val="0"/>
      </rPr>
      <t>年县级公立医院专科特设岗位补助资金分配表</t>
    </r>
  </si>
  <si>
    <t>地区</t>
  </si>
  <si>
    <t>特设岗位补助</t>
  </si>
  <si>
    <t>常住人口数</t>
  </si>
  <si>
    <t>人口系数</t>
  </si>
  <si>
    <t>2021年县域内住院率（%）</t>
  </si>
  <si>
    <t>服务能力系数</t>
  </si>
  <si>
    <t>综合系数</t>
  </si>
  <si>
    <t>每年特岗设立数量</t>
  </si>
  <si>
    <t>省财政应补助金额</t>
  </si>
  <si>
    <t>3栏＝2栏/∑2栏</t>
  </si>
  <si>
    <t>5栏=(100-栏4)/∑（100－栏4）</t>
  </si>
  <si>
    <t>6栏＝3栏*30%+5栏*70%</t>
  </si>
  <si>
    <t>8栏=7栏*1栏</t>
  </si>
  <si>
    <t>中央苏区及少数民族县</t>
  </si>
  <si>
    <t>和平县</t>
  </si>
  <si>
    <t>平远县</t>
  </si>
  <si>
    <t>蕉岭县</t>
  </si>
  <si>
    <t>其他地区</t>
  </si>
  <si>
    <t>乐昌市</t>
  </si>
  <si>
    <t>始兴县</t>
  </si>
  <si>
    <t>新丰县</t>
  </si>
  <si>
    <t>东源县</t>
  </si>
  <si>
    <t>惠东县</t>
  </si>
  <si>
    <t>龙门县</t>
  </si>
  <si>
    <t>台山市</t>
  </si>
  <si>
    <t>开平市</t>
  </si>
  <si>
    <t>恩平市</t>
  </si>
  <si>
    <t>鹤山市</t>
  </si>
  <si>
    <t>阳西县</t>
  </si>
  <si>
    <t>吴川市</t>
  </si>
  <si>
    <t>遂溪县</t>
  </si>
  <si>
    <t>信宜市</t>
  </si>
  <si>
    <t>四会市</t>
  </si>
  <si>
    <t>连州市</t>
  </si>
  <si>
    <t>佛冈县</t>
  </si>
  <si>
    <t>阳山县</t>
  </si>
  <si>
    <t>郁南县</t>
  </si>
  <si>
    <t>备注：
1.用2020年全国第七次人口普查常住人口数据作为县域人口系数基准，用2021年县域内住院率作为县域医疗卫生服务能力的评价指标，县域内住院率越低表明服务能力越弱，反之越强。       
2.人口系数权重为30%，服务能力系数权重为70%，主要考虑提升综合服务能力弱的地区，适当考虑服务人口多的地区。
3.因四舍五入原因，部分地区特岗设立数量存在微调。其中：南澳县因常住人口少调减2名；部分地区根据往年招聘情况进行增减，蕉岭、大埔县分别调增1名，平远、惠东、博罗县分别调减2名、3名和2名。
4.中央苏区县和少数民族县共安排特岗80个，其他地区安排220个。</t>
  </si>
  <si>
    <r>
      <t>附件2</t>
    </r>
    <r>
      <rPr>
        <sz val="11"/>
        <color indexed="8"/>
        <rFont val="宋体"/>
        <family val="0"/>
      </rPr>
      <t>-5</t>
    </r>
  </si>
  <si>
    <t>2023年百名首席专家下基层岗位资金测算表</t>
  </si>
  <si>
    <t>医疗机构</t>
  </si>
  <si>
    <t>测算金额</t>
  </si>
  <si>
    <t>乐昌市第二人民医院</t>
  </si>
  <si>
    <t>东源县第二人民医院（东源县船塘中心卫生院）</t>
  </si>
  <si>
    <t>广梅开发区医院（梅县区畲江镇中心卫生院）</t>
  </si>
  <si>
    <t>惠东县第三人民医院（惠东县多祝镇卫生院）</t>
  </si>
  <si>
    <t>台山市第四人民医院（台山市汶村镇中心卫生院）</t>
  </si>
  <si>
    <t>恩平市第三人民医院（恩平市大槐镇中心卫生院）</t>
  </si>
  <si>
    <t>开平市第二人民医院</t>
  </si>
  <si>
    <t>阳西县第二人民医院（阳西县儒洞镇中心卫生院）</t>
  </si>
  <si>
    <t>遂溪县第二人民医院（遂溪县城月镇中心卫生院）</t>
  </si>
  <si>
    <t>吴川市第四人民医院（吴川市振文卫生院）</t>
  </si>
  <si>
    <t>信宜市第二人民医院（信宜市怀乡中心卫生院）</t>
  </si>
  <si>
    <t>四会市第二人民医院 （四会市江谷镇中心卫生院）</t>
  </si>
  <si>
    <t>郁南县第二人民医院 （郁南县连滩镇中心卫生院）</t>
  </si>
  <si>
    <t>南雄市第二人民医院（南雄市乌迳镇中心卫生院）</t>
  </si>
  <si>
    <t>翁源县第二人民医院（翁源县翁城镇中心卫生院）</t>
  </si>
  <si>
    <t>龙川县第二人民医院（龙川县麻布岗镇中心卫生院）</t>
  </si>
  <si>
    <t>紫金县第二人民医院（紫金县蓝塘中心卫生院）</t>
  </si>
  <si>
    <t>兴宁市第五人民医院（兴宁市水口镇中心卫生院）</t>
  </si>
  <si>
    <t>丰顺县第二人民医院（丰顺县留隍镇中心卫生院）</t>
  </si>
  <si>
    <t>五华县第二人民医院（五华县安流镇中心卫生院）</t>
  </si>
  <si>
    <t>五华县第三人民医院（五华县华城镇中心卫生院）</t>
  </si>
  <si>
    <t>博罗县第二人民医院（博罗县杨村镇中心卫生院）</t>
  </si>
  <si>
    <t>陆丰市第二人民医院（陆丰市甲子镇中心卫生院）</t>
  </si>
  <si>
    <t>陆丰市第三人民医院（陆丰市碣石镇中心卫生院）</t>
  </si>
  <si>
    <t>海丰县第二人民医院（海丰县梅陇镇中心卫生院）</t>
  </si>
  <si>
    <t>阳春市第三人民医院（阳春市春湾中心卫生院）</t>
  </si>
  <si>
    <t>雷州市第二人民医院（雷州市附城卫生院）</t>
  </si>
  <si>
    <t>雷州市第四人民医院（雷州市乌石卫生院）</t>
  </si>
  <si>
    <t>廉江市第四人民医院（廉江市安铺镇中心卫生院）</t>
  </si>
  <si>
    <t>廉江市第五人民医院（廉江市青平镇中心卫生院）</t>
  </si>
  <si>
    <t>徐闻县第三人民医院（徐闻县锦和中心卫生院）</t>
  </si>
  <si>
    <t>高州市第三人民医院（高州市石鼓镇中心卫生院）</t>
  </si>
  <si>
    <t>化州市第二人民医院（化州市合江镇卫生院）</t>
  </si>
  <si>
    <t>化州市第三人民医院 (化州市平定卫生院)</t>
  </si>
  <si>
    <t>广宁县第二人民医院 （广宁县江屯中心卫生院）</t>
  </si>
  <si>
    <t>封开县第二人民医院 （封开县南丰镇中心卫生院）</t>
  </si>
  <si>
    <t>怀集县第二人民医院 （怀集县冷坑中心卫生院）</t>
  </si>
  <si>
    <t>英德市第二人民医院 （英德市东华镇中心卫生院）</t>
  </si>
  <si>
    <t>饶平县第二人民医院 （饶平县新丰中心卫生院）</t>
  </si>
  <si>
    <t>普宁市第二人民医院 （普宁市洪阳镇中心卫生院）</t>
  </si>
  <si>
    <t>普宁市第三人民医院 （普宁市占陇镇中心卫生院）</t>
  </si>
  <si>
    <t>揭西县第二人民医院 （揭西县棉湖华侨医院）</t>
  </si>
  <si>
    <t>惠来县第二人民医院 （惠来县隆江镇中心卫生院）</t>
  </si>
  <si>
    <t>惠来县第三人民医院 （惠来县周田镇卫生院）</t>
  </si>
  <si>
    <t>罗定市第二人民医院 （罗定市罗镜中心卫生院）</t>
  </si>
  <si>
    <t>新兴县第二人民医院 （新兴县稔村中心卫生院）</t>
  </si>
  <si>
    <t>附件3-1</t>
  </si>
  <si>
    <t>2021年住院医师规范化培训（社会人学员）资金测算表</t>
  </si>
  <si>
    <t>金额：万元</t>
  </si>
  <si>
    <t>2021年预计补助经费</t>
  </si>
  <si>
    <t>2021年预计实际下达金额</t>
  </si>
  <si>
    <t>2019级实际在培人数（人）</t>
  </si>
  <si>
    <t>2020级预计在培人数（人）</t>
  </si>
  <si>
    <t>2021年计划招收人数（人）</t>
  </si>
  <si>
    <t>2021年补助金额</t>
  </si>
  <si>
    <t>2021年计划培训人数（人）</t>
  </si>
  <si>
    <t>2021年应拨付补助资金</t>
  </si>
  <si>
    <t>结业理论考核资金</t>
  </si>
  <si>
    <t>结业技能考核资金</t>
  </si>
  <si>
    <t>4栏=（1栏+2栏+3栏）*1.5</t>
  </si>
  <si>
    <t>6栏=5栏*0.385</t>
  </si>
  <si>
    <t>10栏=4栏+6栏+7栏+8栏+9栏</t>
  </si>
  <si>
    <r>
      <rPr>
        <sz val="11"/>
        <rFont val="宋体"/>
        <family val="0"/>
      </rPr>
      <t>广州医科大学附属脑科医院</t>
    </r>
  </si>
  <si>
    <r>
      <rPr>
        <sz val="11"/>
        <rFont val="宋体"/>
        <family val="0"/>
      </rPr>
      <t>华中科技大学协和深圳医院（深圳市南山区人民医院）</t>
    </r>
  </si>
  <si>
    <r>
      <rPr>
        <sz val="11"/>
        <rFont val="宋体"/>
        <family val="0"/>
      </rPr>
      <t>南方医科大学顺德医院</t>
    </r>
  </si>
  <si>
    <t>备注：1、因2020年经费不足，招收计划仅下达2118人，按照往年招生数据测算，年度招生社会人约为4000人，预计2021年需补足（结算）2823万元经费。
2.2021年招生计划（经费）按照预计招收人数（4000人）的80%下达，剩余部分下一经费年度予以结算。                                                           3.补助标准：社会人住院医师规范化培训每人每年1.5万元，带教师资培训补助金额按照每名师资培训7天(56学时)，每天550元/人.天标准补助。                                                                                                                       4.省级住培管理经费150万元用于规范化培训基地日常管理和督导、结业考核指导、省级住培信息平台维护、绩效评估及师资培训管理等业务管理，采取招标等方式确定第三方机构承担相关任务。                                                                                                                                5.结业技能考核经费200万元，用于考核基地考试管理、技能考核成本支出、劳务费、巡考支出、题库建设费用、考务考官培训费用等                                                                                                                                  ，采取招标等方式确定第三方机构承担相关任务。                                                                                                                 6.暨南大学附属第一医院、中国人民解放军南部战区总医院省财政补助资金由省卫生健康委转拨。</t>
  </si>
  <si>
    <t>附件3-2</t>
  </si>
  <si>
    <t>2021年全科医生培训项目资金分配测算表</t>
  </si>
  <si>
    <t>2019年经费结算</t>
  </si>
  <si>
    <t>2021年预计补助</t>
  </si>
  <si>
    <t>2021年实际补助金额</t>
  </si>
  <si>
    <t>2019年计划招收人数</t>
  </si>
  <si>
    <t>2019级实际招收人数</t>
  </si>
  <si>
    <t>结算2019年金额</t>
  </si>
  <si>
    <t>2019年在培（人）</t>
  </si>
  <si>
    <t>2020年预计在培（人）</t>
  </si>
  <si>
    <t>2021年计划招生（人）</t>
  </si>
  <si>
    <t>省财政补助金额</t>
  </si>
  <si>
    <t>9栏=(5栏-1栏）*3+（6栏-2栏）*2+（7栏-3栏）*2+（8栏-4栏）*1</t>
  </si>
  <si>
    <t>17栏=（10栏+11栏+13栏）*3+（12栏+14栏+15栏）*2+16栏*1</t>
  </si>
  <si>
    <t>19栏=18栏*0.385</t>
  </si>
  <si>
    <t>20栏=9栏+17栏+19栏</t>
  </si>
  <si>
    <t>备注：1、采取预拨+结算”方式下达，补助标准：全科医生规范化培训3万元/人/年、助理全科医生培训和转岗培训2万元/人/年，岗位培训1万元/人/年。带教师资培训补助标准550元/人/天，共集中培训7天。
     2、江门市只补助开平市、台山市和恩平市培训人数。
     3.安排珠海市补助资金主要用于中山大学附属第五医院开展全省助理全科医生骨干师资培训</t>
  </si>
  <si>
    <t>年度</t>
  </si>
  <si>
    <t>地市</t>
  </si>
  <si>
    <t>助理全科医生带教师资培训年度计划培训数（人）</t>
  </si>
  <si>
    <t>助理全科医生带教师资培训年度累计招收培训数（人）</t>
  </si>
  <si>
    <t>附件4-2</t>
  </si>
  <si>
    <t>2020年全科医生培训资金分配测算表</t>
  </si>
  <si>
    <t>助理全科医生师资培训</t>
  </si>
  <si>
    <t>2020年应补助金额</t>
  </si>
  <si>
    <t>2018年待结算金额</t>
  </si>
  <si>
    <t>2020年实际补助金额</t>
  </si>
  <si>
    <t>2018级在培</t>
  </si>
  <si>
    <t>2019级计划招收</t>
  </si>
  <si>
    <t>2020年计划招收</t>
  </si>
  <si>
    <t xml:space="preserve">补助金额 </t>
  </si>
  <si>
    <t>8栏=（1栏+2栏+4栏）*3+（3栏+5栏+6栏）*2+7栏*1</t>
  </si>
  <si>
    <t>10栏=9栏*0.385</t>
  </si>
  <si>
    <t>11栏=9栏+10栏</t>
  </si>
  <si>
    <t>13栏=11栏+12栏</t>
  </si>
  <si>
    <t>附件4-1</t>
  </si>
  <si>
    <t>2020年住院医师规范化培训资金测算表</t>
  </si>
  <si>
    <t>2018-2019年待结算金额</t>
  </si>
  <si>
    <t>2020年结算后补助金额</t>
  </si>
  <si>
    <t>以后年度待结算金额</t>
  </si>
  <si>
    <t>2018级在培人数（人）</t>
  </si>
  <si>
    <t>2019年在培人数（人）</t>
  </si>
  <si>
    <t>2020年
计划招收（人）</t>
  </si>
  <si>
    <t>2020年计划培训人数（人）</t>
  </si>
  <si>
    <t>结业理论考核经费</t>
  </si>
  <si>
    <t>结业技能考核经费</t>
  </si>
  <si>
    <t>12栏=10栏+11栏</t>
  </si>
  <si>
    <t>14栏=12-13栏</t>
  </si>
  <si>
    <t>广东省卫生健康委本部</t>
  </si>
  <si>
    <t>南方医科大学附属第三医院</t>
  </si>
  <si>
    <t>中山大学附属肿瘤医院</t>
  </si>
  <si>
    <t>省教育厅</t>
  </si>
  <si>
    <t>地级以上市小计</t>
  </si>
  <si>
    <t>顺德区</t>
  </si>
  <si>
    <t>备注：1.补助标准：社会人住院医师规范化培训每人每年1.5万元，带教师资培训补助金额按照每名师资培训7天(56学时)，每天550元/人.天标准补助。
     2.省级住培管理经费150万元用于规范化培训基地日常管理和督导、结业考核指导、省级住培信息平台维护、绩效评估及师资培训管理等业务管理，采取招标等方式确定第三方机构承担相关工作。
     3.2018年结算在培人员数据截止2018年12月31日，2019结算、2020年补助在培人员数据截止2019年10月31日。
     4.2020年计划招收经费下达人数暂为1000人，各培训基地实际计划招生人数按2020年招收工作通知下达的任务为准，经费于以后年度结算。
     5.暨南大学附属第一医院和中国人民解放军南部战区总医院省财政补助资金由省卫生健康委转拨。
     6.为平衡预算，南方医科大学珠江医院、中山大学附属第三医院分别少安排72万元、157.5万，待以后年度结算时予以补足。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</si>
</sst>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_ "/>
    <numFmt numFmtId="179" formatCode="#,##0.000_ "/>
    <numFmt numFmtId="180" formatCode="#,##0.0000"/>
    <numFmt numFmtId="181" formatCode="#,##0.00_ "/>
  </numFmts>
  <fonts count="155">
    <font>
      <sz val="11"/>
      <color theme="1"/>
      <name val="Calibri"/>
      <family val="0"/>
    </font>
    <font>
      <sz val="11"/>
      <name val="宋体"/>
      <family val="0"/>
    </font>
    <font>
      <sz val="12"/>
      <name val="宋体"/>
      <family val="0"/>
    </font>
    <font>
      <sz val="9"/>
      <name val="宋体"/>
      <family val="0"/>
    </font>
    <font>
      <b/>
      <sz val="15"/>
      <name val="宋体"/>
      <family val="0"/>
    </font>
    <font>
      <b/>
      <sz val="9"/>
      <name val="宋体"/>
      <family val="0"/>
    </font>
    <font>
      <b/>
      <sz val="11"/>
      <name val="宋体"/>
      <family val="0"/>
    </font>
    <font>
      <b/>
      <sz val="10"/>
      <name val="宋体"/>
      <family val="0"/>
    </font>
    <font>
      <sz val="10"/>
      <name val="宋体"/>
      <family val="0"/>
    </font>
    <font>
      <sz val="11"/>
      <color indexed="8"/>
      <name val="宋体"/>
      <family val="0"/>
    </font>
    <font>
      <b/>
      <sz val="16"/>
      <color indexed="8"/>
      <name val="宋体"/>
      <family val="0"/>
    </font>
    <font>
      <sz val="10"/>
      <color indexed="8"/>
      <name val="宋体"/>
      <family val="0"/>
    </font>
    <font>
      <b/>
      <sz val="10"/>
      <name val="Arial"/>
      <family val="2"/>
    </font>
    <font>
      <b/>
      <sz val="12"/>
      <name val="宋体"/>
      <family val="0"/>
    </font>
    <font>
      <sz val="10"/>
      <name val="Arial"/>
      <family val="2"/>
    </font>
    <font>
      <sz val="12"/>
      <color indexed="8"/>
      <name val="宋体"/>
      <family val="0"/>
    </font>
    <font>
      <sz val="18"/>
      <name val="方正小标宋简体"/>
      <family val="0"/>
    </font>
    <font>
      <sz val="11"/>
      <name val="Times New Roman"/>
      <family val="1"/>
    </font>
    <font>
      <b/>
      <sz val="18"/>
      <name val="宋体"/>
      <family val="0"/>
    </font>
    <font>
      <sz val="12"/>
      <name val="汉仪报宋简"/>
      <family val="0"/>
    </font>
    <font>
      <b/>
      <sz val="10"/>
      <color indexed="8"/>
      <name val="宋体"/>
      <family val="0"/>
    </font>
    <font>
      <b/>
      <sz val="11"/>
      <color indexed="8"/>
      <name val="宋体"/>
      <family val="0"/>
    </font>
    <font>
      <b/>
      <sz val="12"/>
      <color indexed="8"/>
      <name val="宋体"/>
      <family val="0"/>
    </font>
    <font>
      <b/>
      <sz val="12"/>
      <color indexed="8"/>
      <name val="Times New Roman"/>
      <family val="1"/>
    </font>
    <font>
      <sz val="12"/>
      <color indexed="8"/>
      <name val="Times New Roman"/>
      <family val="1"/>
    </font>
    <font>
      <sz val="16"/>
      <color indexed="8"/>
      <name val="宋体"/>
      <family val="0"/>
    </font>
    <font>
      <sz val="16"/>
      <color indexed="10"/>
      <name val="宋体"/>
      <family val="0"/>
    </font>
    <font>
      <sz val="14"/>
      <name val="宋体"/>
      <family val="0"/>
    </font>
    <font>
      <b/>
      <sz val="24"/>
      <name val="宋体"/>
      <family val="0"/>
    </font>
    <font>
      <sz val="20"/>
      <name val="方正小标宋简体"/>
      <family val="0"/>
    </font>
    <font>
      <b/>
      <sz val="16"/>
      <name val="宋体"/>
      <family val="0"/>
    </font>
    <font>
      <b/>
      <sz val="16"/>
      <name val="黑体"/>
      <family val="3"/>
    </font>
    <font>
      <b/>
      <sz val="16"/>
      <name val="Times New Roman"/>
      <family val="1"/>
    </font>
    <font>
      <sz val="16"/>
      <name val="宋体"/>
      <family val="0"/>
    </font>
    <font>
      <sz val="16"/>
      <name val="Times New Roman"/>
      <family val="1"/>
    </font>
    <font>
      <sz val="14"/>
      <name val="Times New Roman"/>
      <family val="1"/>
    </font>
    <font>
      <sz val="14"/>
      <color indexed="8"/>
      <name val="宋体"/>
      <family val="0"/>
    </font>
    <font>
      <b/>
      <sz val="14"/>
      <name val="宋体"/>
      <family val="0"/>
    </font>
    <font>
      <b/>
      <sz val="14"/>
      <color indexed="8"/>
      <name val="宋体"/>
      <family val="0"/>
    </font>
    <font>
      <b/>
      <sz val="22"/>
      <name val="宋体"/>
      <family val="0"/>
    </font>
    <font>
      <b/>
      <sz val="14"/>
      <name val="Times New Roman"/>
      <family val="1"/>
    </font>
    <font>
      <sz val="11"/>
      <color indexed="8"/>
      <name val="黑体"/>
      <family val="3"/>
    </font>
    <font>
      <sz val="11"/>
      <color indexed="8"/>
      <name val="Times New Roman"/>
      <family val="1"/>
    </font>
    <font>
      <b/>
      <sz val="22"/>
      <color indexed="8"/>
      <name val="宋体"/>
      <family val="0"/>
    </font>
    <font>
      <sz val="20"/>
      <color indexed="8"/>
      <name val="宋体"/>
      <family val="0"/>
    </font>
    <font>
      <sz val="20"/>
      <color indexed="8"/>
      <name val="Times New Roman"/>
      <family val="1"/>
    </font>
    <font>
      <sz val="14"/>
      <color indexed="8"/>
      <name val="Times New Roman"/>
      <family val="1"/>
    </font>
    <font>
      <sz val="11"/>
      <color indexed="10"/>
      <name val="宋体"/>
      <family val="0"/>
    </font>
    <font>
      <b/>
      <sz val="20"/>
      <color indexed="8"/>
      <name val="宋体"/>
      <family val="0"/>
    </font>
    <font>
      <b/>
      <sz val="14"/>
      <color indexed="8"/>
      <name val="Times New Roman"/>
      <family val="1"/>
    </font>
    <font>
      <sz val="14"/>
      <name val="仿宋_GB2312"/>
      <family val="3"/>
    </font>
    <font>
      <sz val="14"/>
      <color indexed="10"/>
      <name val="Times New Roman"/>
      <family val="1"/>
    </font>
    <font>
      <b/>
      <sz val="20"/>
      <color indexed="10"/>
      <name val="宋体"/>
      <family val="0"/>
    </font>
    <font>
      <b/>
      <sz val="14"/>
      <color indexed="10"/>
      <name val="宋体"/>
      <family val="0"/>
    </font>
    <font>
      <sz val="14"/>
      <color indexed="10"/>
      <name val="仿宋_GB2312"/>
      <family val="3"/>
    </font>
    <font>
      <sz val="11"/>
      <name val="黑体"/>
      <family val="3"/>
    </font>
    <font>
      <b/>
      <sz val="20"/>
      <name val="宋体"/>
      <family val="0"/>
    </font>
    <font>
      <b/>
      <sz val="11"/>
      <name val="Times New Roman"/>
      <family val="1"/>
    </font>
    <font>
      <b/>
      <sz val="11"/>
      <color indexed="8"/>
      <name val="Times New Roman"/>
      <family val="1"/>
    </font>
    <font>
      <sz val="10"/>
      <name val="Times New Roman"/>
      <family val="1"/>
    </font>
    <font>
      <sz val="12"/>
      <name val="黑体"/>
      <family val="3"/>
    </font>
    <font>
      <b/>
      <sz val="12"/>
      <name val="Times New Roman"/>
      <family val="1"/>
    </font>
    <font>
      <sz val="12"/>
      <name val="Times New Roman"/>
      <family val="1"/>
    </font>
    <font>
      <sz val="11"/>
      <name val="仿宋_GB2312"/>
      <family val="3"/>
    </font>
    <font>
      <sz val="11"/>
      <color indexed="9"/>
      <name val="宋体"/>
      <family val="0"/>
    </font>
    <font>
      <i/>
      <sz val="11"/>
      <color indexed="23"/>
      <name val="宋体"/>
      <family val="0"/>
    </font>
    <font>
      <b/>
      <sz val="11"/>
      <color indexed="54"/>
      <name val="宋体"/>
      <family val="0"/>
    </font>
    <font>
      <b/>
      <sz val="13"/>
      <color indexed="54"/>
      <name val="宋体"/>
      <family val="0"/>
    </font>
    <font>
      <u val="single"/>
      <sz val="11"/>
      <color indexed="20"/>
      <name val="宋体"/>
      <family val="0"/>
    </font>
    <font>
      <sz val="11"/>
      <color indexed="62"/>
      <name val="宋体"/>
      <family val="0"/>
    </font>
    <font>
      <b/>
      <sz val="18"/>
      <color indexed="54"/>
      <name val="宋体"/>
      <family val="0"/>
    </font>
    <font>
      <b/>
      <sz val="11"/>
      <color indexed="9"/>
      <name val="宋体"/>
      <family val="0"/>
    </font>
    <font>
      <b/>
      <sz val="11"/>
      <color indexed="53"/>
      <name val="宋体"/>
      <family val="0"/>
    </font>
    <font>
      <b/>
      <sz val="11"/>
      <color indexed="63"/>
      <name val="宋体"/>
      <family val="0"/>
    </font>
    <font>
      <sz val="11"/>
      <color indexed="16"/>
      <name val="宋体"/>
      <family val="0"/>
    </font>
    <font>
      <b/>
      <sz val="15"/>
      <color indexed="54"/>
      <name val="宋体"/>
      <family val="0"/>
    </font>
    <font>
      <u val="single"/>
      <sz val="11"/>
      <color indexed="12"/>
      <name val="宋体"/>
      <family val="0"/>
    </font>
    <font>
      <sz val="11"/>
      <color indexed="17"/>
      <name val="宋体"/>
      <family val="0"/>
    </font>
    <font>
      <sz val="11"/>
      <color indexed="53"/>
      <name val="宋体"/>
      <family val="0"/>
    </font>
    <font>
      <sz val="11"/>
      <color indexed="19"/>
      <name val="宋体"/>
      <family val="0"/>
    </font>
    <font>
      <sz val="12"/>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sz val="11"/>
      <color indexed="8"/>
      <name val="Calibri"/>
      <family val="0"/>
    </font>
    <font>
      <b/>
      <sz val="18"/>
      <name val="Calibri Light"/>
      <family val="0"/>
    </font>
    <font>
      <sz val="12"/>
      <color rgb="FF000000"/>
      <name val="Calibri Light"/>
      <family val="0"/>
    </font>
    <font>
      <b/>
      <sz val="10"/>
      <color theme="1"/>
      <name val="Calibri Light"/>
      <family val="0"/>
    </font>
    <font>
      <b/>
      <sz val="16"/>
      <color theme="1"/>
      <name val="Calibri Light"/>
      <family val="0"/>
    </font>
    <font>
      <b/>
      <sz val="11"/>
      <color rgb="FF000000"/>
      <name val="Calibri Light"/>
      <family val="0"/>
    </font>
    <font>
      <sz val="10"/>
      <color rgb="FF000000"/>
      <name val="Calibri"/>
      <family val="0"/>
    </font>
    <font>
      <b/>
      <sz val="12"/>
      <color rgb="FF000000"/>
      <name val="Calibri"/>
      <family val="0"/>
    </font>
    <font>
      <b/>
      <sz val="12"/>
      <color rgb="FF000000"/>
      <name val="Times New Roman"/>
      <family val="1"/>
    </font>
    <font>
      <sz val="11"/>
      <color rgb="FF000000"/>
      <name val="Calibri"/>
      <family val="0"/>
    </font>
    <font>
      <sz val="12"/>
      <color rgb="FF000000"/>
      <name val="Times New Roman"/>
      <family val="1"/>
    </font>
    <font>
      <b/>
      <sz val="11"/>
      <color rgb="FF000000"/>
      <name val="Calibri"/>
      <family val="0"/>
    </font>
    <font>
      <sz val="10"/>
      <color theme="1"/>
      <name val="Calibri Light"/>
      <family val="0"/>
    </font>
    <font>
      <sz val="12"/>
      <color theme="1"/>
      <name val="Calibri"/>
      <family val="0"/>
    </font>
    <font>
      <sz val="16"/>
      <color theme="1"/>
      <name val="Calibri"/>
      <family val="0"/>
    </font>
    <font>
      <sz val="16"/>
      <color rgb="FFFF0000"/>
      <name val="Calibri"/>
      <family val="0"/>
    </font>
    <font>
      <b/>
      <sz val="24"/>
      <name val="Calibri Light"/>
      <family val="0"/>
    </font>
    <font>
      <sz val="14"/>
      <name val="Calibri"/>
      <family val="0"/>
    </font>
    <font>
      <b/>
      <sz val="16"/>
      <name val="Calibri"/>
      <family val="0"/>
    </font>
    <font>
      <sz val="16"/>
      <name val="Calibri"/>
      <family val="0"/>
    </font>
    <font>
      <sz val="14"/>
      <color theme="1"/>
      <name val="Calibri"/>
      <family val="0"/>
    </font>
    <font>
      <b/>
      <sz val="14"/>
      <name val="Calibri"/>
      <family val="0"/>
    </font>
    <font>
      <b/>
      <sz val="14"/>
      <color theme="1"/>
      <name val="Calibri Light"/>
      <family val="0"/>
    </font>
    <font>
      <sz val="14"/>
      <name val="Calibri Light"/>
      <family val="0"/>
    </font>
    <font>
      <sz val="12"/>
      <name val="Calibri"/>
      <family val="0"/>
    </font>
    <font>
      <b/>
      <sz val="22"/>
      <name val="Calibri Light"/>
      <family val="0"/>
    </font>
    <font>
      <b/>
      <sz val="14"/>
      <name val="Calibri Light"/>
      <family val="0"/>
    </font>
    <font>
      <sz val="11"/>
      <color theme="1"/>
      <name val="黑体"/>
      <family val="3"/>
    </font>
    <font>
      <b/>
      <sz val="12"/>
      <color theme="1"/>
      <name val="Calibri"/>
      <family val="0"/>
    </font>
    <font>
      <sz val="14"/>
      <color rgb="FF000000"/>
      <name val="Calibri"/>
      <family val="0"/>
    </font>
    <font>
      <b/>
      <sz val="22"/>
      <color rgb="FF000000"/>
      <name val="Calibri Light"/>
      <family val="0"/>
    </font>
    <font>
      <b/>
      <sz val="22"/>
      <color indexed="8"/>
      <name val="Calibri Light"/>
      <family val="0"/>
    </font>
    <font>
      <sz val="20"/>
      <color indexed="8"/>
      <name val="Calibri"/>
      <family val="0"/>
    </font>
    <font>
      <sz val="11"/>
      <color theme="1"/>
      <name val="Times New Roman"/>
      <family val="1"/>
    </font>
    <font>
      <sz val="14"/>
      <color indexed="8"/>
      <name val="Calibri"/>
      <family val="0"/>
    </font>
    <font>
      <sz val="14"/>
      <color theme="1"/>
      <name val="Times New Roman"/>
      <family val="1"/>
    </font>
    <font>
      <sz val="11"/>
      <color theme="1"/>
      <name val="Calibri Light"/>
      <family val="0"/>
    </font>
    <font>
      <b/>
      <sz val="12"/>
      <color theme="1"/>
      <name val="Calibri Light"/>
      <family val="0"/>
    </font>
    <font>
      <sz val="12"/>
      <color theme="1"/>
      <name val="Calibri Light"/>
      <family val="0"/>
    </font>
    <font>
      <sz val="11"/>
      <color rgb="FFFF0000"/>
      <name val="宋体"/>
      <family val="0"/>
    </font>
    <font>
      <sz val="14"/>
      <color rgb="FF000000"/>
      <name val="宋体"/>
      <family val="0"/>
    </font>
    <font>
      <b/>
      <sz val="20"/>
      <color indexed="8"/>
      <name val="Calibri Light"/>
      <family val="0"/>
    </font>
    <font>
      <sz val="12"/>
      <name val="Calibri Light"/>
      <family val="0"/>
    </font>
    <font>
      <b/>
      <sz val="14"/>
      <color theme="1"/>
      <name val="Times New Roman"/>
      <family val="1"/>
    </font>
    <font>
      <sz val="14"/>
      <color rgb="FFFF0000"/>
      <name val="Times New Roman"/>
      <family val="1"/>
    </font>
    <font>
      <b/>
      <sz val="20"/>
      <color rgb="FFFF0000"/>
      <name val="Calibri Light"/>
      <family val="0"/>
    </font>
    <font>
      <sz val="14"/>
      <color indexed="8"/>
      <name val="Calibri Light"/>
      <family val="0"/>
    </font>
    <font>
      <b/>
      <sz val="14"/>
      <color rgb="FFFF0000"/>
      <name val="Calibri Light"/>
      <family val="0"/>
    </font>
    <font>
      <sz val="14"/>
      <color rgb="FFFF0000"/>
      <name val="仿宋_GB2312"/>
      <family val="3"/>
    </font>
    <font>
      <sz val="11"/>
      <color theme="1"/>
      <name val="宋体"/>
      <family val="0"/>
    </font>
    <font>
      <b/>
      <sz val="20"/>
      <name val="Calibri Light"/>
      <family val="0"/>
    </font>
    <font>
      <b/>
      <sz val="12"/>
      <name val="Calibri"/>
      <family val="0"/>
    </font>
    <font>
      <b/>
      <sz val="12"/>
      <name val="Calibri Light"/>
      <family val="0"/>
    </font>
    <font>
      <b/>
      <sz val="11"/>
      <color theme="1"/>
      <name val="Times New Roman"/>
      <family val="1"/>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border>
    <border>
      <left style="thin"/>
      <right style="thin"/>
      <top style="thin"/>
      <bottom style="thin"/>
    </border>
    <border>
      <left style="thin"/>
      <right/>
      <top/>
      <bottom/>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style="thin">
        <color indexed="8"/>
      </top>
      <bottom style="thin">
        <color indexed="8"/>
      </bottom>
    </border>
    <border>
      <left/>
      <right/>
      <top style="thin"/>
      <bottom/>
    </border>
    <border>
      <left style="thin"/>
      <right/>
      <top/>
      <bottom style="thin"/>
    </border>
    <border>
      <left/>
      <right style="thin"/>
      <top style="thin"/>
      <bottom/>
    </border>
    <border>
      <left/>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80" fillId="0" borderId="0" applyFont="0" applyFill="0" applyBorder="0" applyAlignment="0" applyProtection="0"/>
    <xf numFmtId="0" fontId="3" fillId="0" borderId="0">
      <alignment vertical="center"/>
      <protection/>
    </xf>
    <xf numFmtId="0" fontId="0" fillId="2" borderId="0" applyNumberFormat="0" applyBorder="0" applyAlignment="0" applyProtection="0"/>
    <xf numFmtId="0" fontId="81" fillId="3" borderId="1" applyNumberFormat="0" applyAlignment="0" applyProtection="0"/>
    <xf numFmtId="44" fontId="80" fillId="0" borderId="0" applyFont="0" applyFill="0" applyBorder="0" applyAlignment="0" applyProtection="0"/>
    <xf numFmtId="41" fontId="80" fillId="0" borderId="0" applyFont="0" applyFill="0" applyBorder="0" applyAlignment="0" applyProtection="0"/>
    <xf numFmtId="0" fontId="0" fillId="4" borderId="0" applyNumberFormat="0" applyBorder="0" applyAlignment="0" applyProtection="0"/>
    <xf numFmtId="0" fontId="82" fillId="5" borderId="0" applyNumberFormat="0" applyBorder="0" applyAlignment="0" applyProtection="0"/>
    <xf numFmtId="43" fontId="80" fillId="0" borderId="0" applyFont="0" applyFill="0" applyBorder="0" applyAlignment="0" applyProtection="0"/>
    <xf numFmtId="0" fontId="83" fillId="6" borderId="0" applyNumberFormat="0" applyBorder="0" applyAlignment="0" applyProtection="0"/>
    <xf numFmtId="0" fontId="84" fillId="0" borderId="0" applyNumberFormat="0" applyFill="0" applyBorder="0" applyAlignment="0" applyProtection="0"/>
    <xf numFmtId="9" fontId="80" fillId="0" borderId="0" applyFont="0" applyFill="0" applyBorder="0" applyAlignment="0" applyProtection="0"/>
    <xf numFmtId="0" fontId="85" fillId="0" borderId="0" applyNumberFormat="0" applyFill="0" applyBorder="0" applyAlignment="0" applyProtection="0"/>
    <xf numFmtId="0" fontId="80" fillId="7" borderId="2" applyNumberFormat="0" applyFont="0" applyAlignment="0" applyProtection="0"/>
    <xf numFmtId="0" fontId="83" fillId="8"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3" applyNumberFormat="0" applyFill="0" applyAlignment="0" applyProtection="0"/>
    <xf numFmtId="0" fontId="91" fillId="0" borderId="3" applyNumberFormat="0" applyFill="0" applyAlignment="0" applyProtection="0"/>
    <xf numFmtId="0" fontId="83" fillId="9" borderId="0" applyNumberFormat="0" applyBorder="0" applyAlignment="0" applyProtection="0"/>
    <xf numFmtId="0" fontId="86" fillId="0" borderId="4" applyNumberFormat="0" applyFill="0" applyAlignment="0" applyProtection="0"/>
    <xf numFmtId="0" fontId="83" fillId="10" borderId="0" applyNumberFormat="0" applyBorder="0" applyAlignment="0" applyProtection="0"/>
    <xf numFmtId="0" fontId="92" fillId="11" borderId="5" applyNumberFormat="0" applyAlignment="0" applyProtection="0"/>
    <xf numFmtId="0" fontId="93" fillId="11" borderId="1" applyNumberFormat="0" applyAlignment="0" applyProtection="0"/>
    <xf numFmtId="0" fontId="94" fillId="12" borderId="6" applyNumberFormat="0" applyAlignment="0" applyProtection="0"/>
    <xf numFmtId="0" fontId="0" fillId="13" borderId="0" applyNumberFormat="0" applyBorder="0" applyAlignment="0" applyProtection="0"/>
    <xf numFmtId="0" fontId="83" fillId="14" borderId="0" applyNumberFormat="0" applyBorder="0" applyAlignment="0" applyProtection="0"/>
    <xf numFmtId="0" fontId="95" fillId="0" borderId="7" applyNumberFormat="0" applyFill="0" applyAlignment="0" applyProtection="0"/>
    <xf numFmtId="0" fontId="96" fillId="0" borderId="8" applyNumberFormat="0" applyFill="0" applyAlignment="0" applyProtection="0"/>
    <xf numFmtId="0" fontId="97" fillId="15" borderId="0" applyNumberFormat="0" applyBorder="0" applyAlignment="0" applyProtection="0"/>
    <xf numFmtId="0" fontId="98" fillId="16" borderId="0" applyNumberFormat="0" applyBorder="0" applyAlignment="0" applyProtection="0"/>
    <xf numFmtId="0" fontId="0" fillId="17" borderId="0" applyNumberFormat="0" applyBorder="0" applyAlignment="0" applyProtection="0"/>
    <xf numFmtId="0" fontId="8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83" fillId="27" borderId="0" applyNumberFormat="0" applyBorder="0" applyAlignment="0" applyProtection="0"/>
    <xf numFmtId="0" fontId="0"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0" fillId="31" borderId="0" applyNumberFormat="0" applyBorder="0" applyAlignment="0" applyProtection="0"/>
    <xf numFmtId="0" fontId="83" fillId="32" borderId="0" applyNumberFormat="0" applyBorder="0" applyAlignment="0" applyProtection="0"/>
    <xf numFmtId="0" fontId="9" fillId="0" borderId="0" applyProtection="0">
      <alignment vertical="center"/>
    </xf>
    <xf numFmtId="0" fontId="2" fillId="0" borderId="0">
      <alignment/>
      <protection/>
    </xf>
    <xf numFmtId="0" fontId="9" fillId="0" borderId="0" applyProtection="0">
      <alignment vertical="center"/>
    </xf>
  </cellStyleXfs>
  <cellXfs count="364">
    <xf numFmtId="0" fontId="0" fillId="0" borderId="0" xfId="0" applyFont="1" applyAlignment="1">
      <alignment vertical="center"/>
    </xf>
    <xf numFmtId="0" fontId="2" fillId="0" borderId="0" xfId="0" applyFont="1" applyFill="1" applyBorder="1" applyAlignment="1" applyProtection="1">
      <alignment/>
      <protection/>
    </xf>
    <xf numFmtId="0" fontId="2" fillId="0" borderId="0" xfId="0" applyNumberFormat="1" applyFont="1" applyFill="1" applyBorder="1" applyAlignment="1">
      <alignment horizontal="center"/>
    </xf>
    <xf numFmtId="0" fontId="3"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4" fillId="0" borderId="0" xfId="0" applyFont="1" applyFill="1" applyBorder="1" applyAlignment="1" applyProtection="1">
      <alignment horizontal="center" vertical="center"/>
      <protection/>
    </xf>
    <xf numFmtId="0" fontId="4"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6" fillId="0" borderId="9" xfId="0" applyNumberFormat="1" applyFont="1" applyFill="1" applyBorder="1" applyAlignment="1" applyProtection="1">
      <alignment horizontal="center" vertical="center" wrapText="1"/>
      <protection/>
    </xf>
    <xf numFmtId="0" fontId="6"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lignment horizontal="center" vertical="center" wrapText="1" readingOrder="1"/>
    </xf>
    <xf numFmtId="0" fontId="3" fillId="0" borderId="10" xfId="0" applyFont="1" applyFill="1" applyBorder="1" applyAlignment="1" applyProtection="1">
      <alignment horizontal="center" vertical="center" wrapText="1"/>
      <protection/>
    </xf>
    <xf numFmtId="0" fontId="3"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7" fillId="0" borderId="10" xfId="0" applyNumberFormat="1" applyFont="1" applyFill="1" applyBorder="1" applyAlignment="1">
      <alignment horizontal="center" vertical="center" wrapText="1"/>
    </xf>
    <xf numFmtId="43" fontId="7" fillId="0" borderId="10" xfId="23" applyNumberFormat="1" applyFont="1" applyFill="1" applyBorder="1" applyAlignment="1">
      <alignment horizontal="center" vertical="center" wrapText="1"/>
    </xf>
    <xf numFmtId="0" fontId="8" fillId="0" borderId="13" xfId="0" applyFont="1" applyFill="1" applyBorder="1" applyAlignment="1" applyProtection="1">
      <alignment horizontal="left" vertical="center" wrapText="1"/>
      <protection/>
    </xf>
    <xf numFmtId="0" fontId="8" fillId="0" borderId="12"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43" fontId="8" fillId="0" borderId="13" xfId="23"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43" fontId="8" fillId="0" borderId="10" xfId="23" applyNumberFormat="1" applyFont="1" applyFill="1" applyBorder="1" applyAlignment="1">
      <alignment horizontal="center" vertical="center" wrapText="1"/>
    </xf>
    <xf numFmtId="0" fontId="8" fillId="0" borderId="13" xfId="23" applyNumberFormat="1" applyFont="1" applyFill="1" applyBorder="1" applyAlignment="1">
      <alignment horizontal="center" vertical="center"/>
    </xf>
    <xf numFmtId="0" fontId="8" fillId="33" borderId="13" xfId="0" applyFont="1" applyFill="1" applyBorder="1" applyAlignment="1" applyProtection="1">
      <alignment horizontal="left" vertical="center" wrapText="1"/>
      <protection/>
    </xf>
    <xf numFmtId="0" fontId="7" fillId="0" borderId="13" xfId="0" applyFont="1" applyFill="1" applyBorder="1" applyAlignment="1" applyProtection="1">
      <alignment horizontal="center" vertical="center" wrapText="1"/>
      <protection/>
    </xf>
    <xf numFmtId="0" fontId="7" fillId="0" borderId="12" xfId="0" applyNumberFormat="1" applyFont="1" applyFill="1" applyBorder="1" applyAlignment="1">
      <alignment horizontal="center" vertical="center" wrapText="1"/>
    </xf>
    <xf numFmtId="0" fontId="8" fillId="0" borderId="13"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wrapText="1"/>
      <protection/>
    </xf>
    <xf numFmtId="176" fontId="2" fillId="0" borderId="0" xfId="0" applyNumberFormat="1" applyFont="1" applyFill="1" applyBorder="1" applyAlignment="1">
      <alignment horizontal="center"/>
    </xf>
    <xf numFmtId="0" fontId="2" fillId="0" borderId="0" xfId="0" applyFont="1" applyFill="1" applyBorder="1" applyAlignment="1">
      <alignment/>
    </xf>
    <xf numFmtId="176" fontId="8" fillId="0" borderId="0" xfId="0" applyNumberFormat="1" applyFont="1" applyFill="1" applyBorder="1" applyAlignment="1">
      <alignment horizontal="right" vertical="center"/>
    </xf>
    <xf numFmtId="0" fontId="6" fillId="0" borderId="14"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0" fontId="9" fillId="0" borderId="0" xfId="0" applyNumberFormat="1" applyFont="1" applyFill="1" applyBorder="1" applyAlignment="1">
      <alignment vertical="center"/>
    </xf>
    <xf numFmtId="0" fontId="9" fillId="0" borderId="0" xfId="0" applyNumberFormat="1" applyFont="1" applyFill="1" applyBorder="1" applyAlignment="1">
      <alignment/>
    </xf>
    <xf numFmtId="0" fontId="10" fillId="0" borderId="0"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indent="1"/>
    </xf>
    <xf numFmtId="3" fontId="8"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xf>
    <xf numFmtId="0" fontId="11" fillId="0" borderId="0" xfId="0" applyNumberFormat="1" applyFont="1" applyFill="1" applyBorder="1" applyAlignment="1">
      <alignment horizontal="right" vertical="center"/>
    </xf>
    <xf numFmtId="43" fontId="7" fillId="0" borderId="16" xfId="23" applyNumberFormat="1" applyFont="1" applyFill="1" applyBorder="1" applyAlignment="1">
      <alignment horizontal="center" vertical="center" wrapText="1"/>
    </xf>
    <xf numFmtId="43" fontId="8" fillId="0" borderId="10" xfId="23" applyNumberFormat="1" applyFont="1" applyFill="1" applyBorder="1" applyAlignment="1">
      <alignment vertical="center"/>
    </xf>
    <xf numFmtId="43" fontId="8" fillId="0" borderId="16" xfId="23" applyNumberFormat="1" applyFont="1" applyFill="1" applyBorder="1" applyAlignment="1">
      <alignment horizontal="center" vertical="center" wrapText="1"/>
    </xf>
    <xf numFmtId="0" fontId="12" fillId="0" borderId="17" xfId="0" applyFont="1" applyFill="1" applyBorder="1" applyAlignment="1">
      <alignment horizontal="center" vertical="center"/>
    </xf>
    <xf numFmtId="0" fontId="13" fillId="0" borderId="10" xfId="0" applyNumberFormat="1"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4" fillId="0" borderId="17" xfId="0" applyNumberFormat="1" applyFont="1" applyFill="1" applyBorder="1" applyAlignment="1">
      <alignment vertical="center"/>
    </xf>
    <xf numFmtId="49" fontId="14" fillId="0" borderId="17" xfId="0" applyNumberFormat="1" applyFont="1" applyFill="1" applyBorder="1" applyAlignment="1">
      <alignment vertical="center"/>
    </xf>
    <xf numFmtId="0" fontId="14" fillId="0" borderId="17" xfId="0" applyNumberFormat="1" applyFont="1" applyFill="1" applyBorder="1" applyAlignment="1">
      <alignment horizontal="center" vertical="center" wrapText="1"/>
    </xf>
    <xf numFmtId="0" fontId="15" fillId="0" borderId="0" xfId="0" applyNumberFormat="1" applyFont="1" applyFill="1" applyBorder="1" applyAlignment="1">
      <alignment vertical="center"/>
    </xf>
    <xf numFmtId="0" fontId="16" fillId="0" borderId="0"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99" fillId="0" borderId="10" xfId="0" applyNumberFormat="1" applyFont="1" applyFill="1" applyBorder="1" applyAlignment="1">
      <alignment horizontal="center" vertical="center" wrapText="1"/>
    </xf>
    <xf numFmtId="0" fontId="99" fillId="0" borderId="16" xfId="0" applyNumberFormat="1" applyFont="1" applyFill="1" applyBorder="1" applyAlignment="1">
      <alignment horizontal="center" vertical="center" wrapText="1"/>
    </xf>
    <xf numFmtId="0" fontId="100" fillId="0" borderId="10" xfId="0" applyNumberFormat="1" applyFont="1" applyFill="1" applyBorder="1" applyAlignment="1">
      <alignment horizontal="left" vertical="center" wrapText="1" indent="1"/>
    </xf>
    <xf numFmtId="0" fontId="100"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indent="1"/>
    </xf>
    <xf numFmtId="0" fontId="1" fillId="0" borderId="0" xfId="0" applyNumberFormat="1" applyFont="1" applyFill="1" applyBorder="1" applyAlignment="1">
      <alignment horizontal="left" vertical="center" wrapText="1"/>
    </xf>
    <xf numFmtId="0" fontId="3" fillId="0" borderId="19" xfId="0" applyNumberFormat="1" applyFont="1" applyFill="1" applyBorder="1" applyAlignment="1">
      <alignment horizontal="center" vertical="center" wrapText="1"/>
    </xf>
    <xf numFmtId="43" fontId="99" fillId="0" borderId="16" xfId="23" applyNumberFormat="1" applyFont="1" applyFill="1" applyBorder="1" applyAlignment="1">
      <alignment horizontal="center" vertical="center" wrapText="1"/>
    </xf>
    <xf numFmtId="43" fontId="100" fillId="0" borderId="10" xfId="23" applyNumberFormat="1" applyFont="1" applyFill="1" applyBorder="1" applyAlignment="1">
      <alignment horizontal="left" vertical="center" wrapText="1"/>
    </xf>
    <xf numFmtId="3" fontId="100" fillId="0" borderId="10" xfId="0" applyNumberFormat="1" applyFont="1" applyFill="1" applyBorder="1" applyAlignment="1">
      <alignment horizontal="center" vertical="center" wrapText="1"/>
    </xf>
    <xf numFmtId="0" fontId="100" fillId="0" borderId="10" xfId="0" applyNumberFormat="1" applyFont="1" applyFill="1" applyBorder="1" applyAlignment="1">
      <alignment horizontal="center" vertical="center" wrapText="1"/>
    </xf>
    <xf numFmtId="43" fontId="101" fillId="0" borderId="10" xfId="23" applyNumberFormat="1" applyFont="1" applyFill="1" applyBorder="1" applyAlignment="1">
      <alignment horizontal="center" vertical="center" wrapText="1"/>
    </xf>
    <xf numFmtId="177" fontId="100" fillId="0" borderId="10" xfId="0" applyNumberFormat="1" applyFont="1" applyFill="1" applyBorder="1" applyAlignment="1">
      <alignment horizontal="center" vertical="center" wrapText="1"/>
    </xf>
    <xf numFmtId="43" fontId="15" fillId="0" borderId="10" xfId="23"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8" fillId="0" borderId="0" xfId="0" applyNumberFormat="1" applyFont="1" applyFill="1" applyBorder="1" applyAlignment="1">
      <alignment horizontal="justify" vertical="center"/>
    </xf>
    <xf numFmtId="0" fontId="6" fillId="0" borderId="20"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43" fontId="100" fillId="0" borderId="10" xfId="23" applyNumberFormat="1" applyFont="1" applyFill="1" applyBorder="1" applyAlignment="1">
      <alignment horizontal="center" vertical="center" wrapText="1"/>
    </xf>
    <xf numFmtId="43" fontId="99" fillId="0" borderId="10" xfId="23" applyNumberFormat="1" applyFont="1" applyFill="1" applyBorder="1" applyAlignment="1">
      <alignment horizontal="center" vertical="center" wrapText="1"/>
    </xf>
    <xf numFmtId="43" fontId="2" fillId="0" borderId="10" xfId="23" applyNumberFormat="1" applyFont="1" applyFill="1" applyBorder="1" applyAlignment="1">
      <alignment horizontal="center" vertical="center" wrapText="1"/>
    </xf>
    <xf numFmtId="43" fontId="13" fillId="0" borderId="10" xfId="23" applyNumberFormat="1" applyFont="1" applyFill="1" applyBorder="1" applyAlignment="1">
      <alignment horizontal="center" vertical="center" wrapText="1"/>
    </xf>
    <xf numFmtId="0" fontId="2"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43" fontId="5" fillId="0" borderId="10" xfId="23"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xf>
    <xf numFmtId="43" fontId="3" fillId="0" borderId="10" xfId="23" applyNumberFormat="1" applyFont="1" applyFill="1" applyBorder="1" applyAlignment="1">
      <alignment horizontal="center" vertical="center"/>
    </xf>
    <xf numFmtId="0" fontId="3" fillId="0" borderId="10" xfId="23" applyNumberFormat="1" applyFont="1" applyFill="1" applyBorder="1" applyAlignment="1">
      <alignment horizontal="center" vertical="center"/>
    </xf>
    <xf numFmtId="43" fontId="3" fillId="0" borderId="10" xfId="23" applyNumberFormat="1"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43" fontId="5" fillId="0" borderId="10" xfId="23" applyNumberFormat="1" applyFont="1" applyFill="1" applyBorder="1" applyAlignment="1">
      <alignment horizontal="center" vertical="center"/>
    </xf>
    <xf numFmtId="0" fontId="17" fillId="0"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right" vertical="center" wrapText="1"/>
      <protection/>
    </xf>
    <xf numFmtId="176"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0" fillId="0" borderId="0" xfId="0" applyAlignment="1">
      <alignment horizontal="center" vertical="center"/>
    </xf>
    <xf numFmtId="0" fontId="0" fillId="0" borderId="0" xfId="0" applyFont="1" applyAlignment="1">
      <alignment horizontal="left" vertical="center"/>
    </xf>
    <xf numFmtId="0" fontId="102" fillId="0" borderId="0" xfId="0" applyNumberFormat="1" applyFont="1" applyFill="1" applyBorder="1" applyAlignment="1">
      <alignment horizontal="center" vertical="center"/>
    </xf>
    <xf numFmtId="0" fontId="102" fillId="0" borderId="0" xfId="0" applyNumberFormat="1" applyFont="1" applyFill="1" applyBorder="1" applyAlignment="1">
      <alignment horizontal="left" vertical="center"/>
    </xf>
    <xf numFmtId="0" fontId="8" fillId="0" borderId="0" xfId="0" applyNumberFormat="1" applyFont="1" applyFill="1" applyBorder="1" applyAlignment="1">
      <alignment horizontal="right" vertical="center"/>
    </xf>
    <xf numFmtId="0" fontId="8" fillId="0" borderId="0" xfId="0" applyNumberFormat="1" applyFont="1" applyFill="1" applyBorder="1" applyAlignment="1">
      <alignment horizontal="left" vertical="center"/>
    </xf>
    <xf numFmtId="0" fontId="6" fillId="0" borderId="10" xfId="0" applyNumberFormat="1" applyFont="1" applyFill="1" applyBorder="1" applyAlignment="1">
      <alignment horizontal="left" vertical="center" wrapText="1"/>
    </xf>
    <xf numFmtId="43" fontId="6" fillId="0" borderId="10" xfId="23" applyNumberFormat="1" applyFont="1" applyFill="1" applyBorder="1" applyAlignment="1">
      <alignment horizontal="center" vertical="center"/>
    </xf>
    <xf numFmtId="0" fontId="1" fillId="0" borderId="10" xfId="64" applyNumberFormat="1" applyFont="1" applyFill="1" applyBorder="1" applyAlignment="1">
      <alignment horizontal="center" vertical="center" wrapText="1"/>
    </xf>
    <xf numFmtId="0" fontId="103" fillId="0" borderId="10" xfId="0" applyFont="1" applyFill="1" applyBorder="1" applyAlignment="1">
      <alignment horizontal="left" vertical="center"/>
    </xf>
    <xf numFmtId="43" fontId="1" fillId="0" borderId="10" xfId="23"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3" fillId="0" borderId="10" xfId="0" applyNumberFormat="1" applyFont="1" applyFill="1" applyBorder="1" applyAlignment="1">
      <alignment horizontal="left" vertical="center"/>
    </xf>
    <xf numFmtId="0" fontId="19" fillId="0" borderId="10" xfId="65" applyNumberFormat="1" applyFont="1" applyFill="1" applyBorder="1" applyAlignment="1">
      <alignment horizontal="center" vertical="center"/>
      <protection/>
    </xf>
    <xf numFmtId="0" fontId="19" fillId="0" borderId="10" xfId="65" applyNumberFormat="1" applyFont="1" applyFill="1" applyBorder="1" applyAlignment="1" applyProtection="1">
      <alignment horizontal="left" vertical="center"/>
      <protection locked="0"/>
    </xf>
    <xf numFmtId="0" fontId="19" fillId="0" borderId="10" xfId="65" applyNumberFormat="1" applyFont="1" applyFill="1" applyBorder="1" applyAlignment="1" applyProtection="1">
      <alignment horizontal="center" vertical="center"/>
      <protection locked="0"/>
    </xf>
    <xf numFmtId="0" fontId="104" fillId="0" borderId="0" xfId="0" applyFont="1" applyAlignment="1">
      <alignment vertical="center"/>
    </xf>
    <xf numFmtId="0" fontId="0" fillId="0" borderId="0" xfId="0" applyFont="1" applyAlignment="1">
      <alignment vertical="center"/>
    </xf>
    <xf numFmtId="0" fontId="105" fillId="0" borderId="0" xfId="0" applyFont="1" applyFill="1" applyBorder="1" applyAlignment="1">
      <alignment horizontal="center" vertical="center"/>
    </xf>
    <xf numFmtId="0" fontId="106" fillId="0" borderId="10" xfId="0" applyFont="1" applyFill="1" applyBorder="1" applyAlignment="1">
      <alignment horizontal="center" vertical="center" wrapText="1"/>
    </xf>
    <xf numFmtId="0" fontId="107" fillId="0" borderId="10" xfId="0" applyFont="1" applyFill="1" applyBorder="1" applyAlignment="1">
      <alignment horizontal="center" vertical="center" wrapText="1"/>
    </xf>
    <xf numFmtId="0" fontId="108" fillId="0" borderId="10" xfId="0" applyFont="1" applyFill="1" applyBorder="1" applyAlignment="1">
      <alignment horizontal="center" vertical="center" wrapText="1"/>
    </xf>
    <xf numFmtId="0" fontId="109" fillId="0" borderId="10" xfId="0" applyFont="1" applyFill="1" applyBorder="1" applyAlignment="1">
      <alignment horizontal="center" vertical="center" wrapText="1"/>
    </xf>
    <xf numFmtId="0" fontId="110" fillId="0" borderId="10" xfId="0" applyFont="1" applyFill="1" applyBorder="1" applyAlignment="1">
      <alignment horizontal="center" vertical="center" wrapText="1"/>
    </xf>
    <xf numFmtId="0" fontId="111" fillId="0" borderId="10" xfId="0" applyFont="1" applyFill="1" applyBorder="1" applyAlignment="1">
      <alignment horizontal="center" vertical="center" wrapText="1"/>
    </xf>
    <xf numFmtId="10" fontId="111" fillId="0" borderId="10" xfId="0" applyNumberFormat="1" applyFont="1" applyFill="1" applyBorder="1" applyAlignment="1">
      <alignment horizontal="center" vertical="center" wrapText="1"/>
    </xf>
    <xf numFmtId="2" fontId="111" fillId="0" borderId="10" xfId="0" applyNumberFormat="1" applyFont="1" applyFill="1" applyBorder="1" applyAlignment="1">
      <alignment horizontal="center" vertical="center" wrapText="1"/>
    </xf>
    <xf numFmtId="0" fontId="111" fillId="0" borderId="10" xfId="0" applyNumberFormat="1" applyFont="1" applyFill="1" applyBorder="1" applyAlignment="1">
      <alignment horizontal="center" vertical="center" wrapText="1"/>
    </xf>
    <xf numFmtId="176" fontId="111" fillId="0" borderId="10" xfId="0" applyNumberFormat="1" applyFont="1" applyFill="1" applyBorder="1" applyAlignment="1">
      <alignment horizontal="center" vertical="center" wrapText="1"/>
    </xf>
    <xf numFmtId="0" fontId="112" fillId="0" borderId="10" xfId="0" applyFont="1" applyFill="1" applyBorder="1" applyAlignment="1">
      <alignment horizontal="center" vertical="center" wrapText="1"/>
    </xf>
    <xf numFmtId="0" fontId="100" fillId="0" borderId="10" xfId="0" applyFont="1" applyFill="1" applyBorder="1" applyAlignment="1">
      <alignment horizontal="center" vertical="center" wrapText="1"/>
    </xf>
    <xf numFmtId="0" fontId="113" fillId="0" borderId="0" xfId="0" applyFont="1" applyFill="1" applyBorder="1" applyAlignment="1">
      <alignment horizontal="right" vertical="center"/>
    </xf>
    <xf numFmtId="43" fontId="109" fillId="0" borderId="10" xfId="0" applyNumberFormat="1" applyFont="1" applyFill="1" applyBorder="1" applyAlignment="1">
      <alignment horizontal="center" vertical="center" wrapText="1"/>
    </xf>
    <xf numFmtId="43" fontId="111" fillId="0" borderId="10" xfId="0" applyNumberFormat="1" applyFont="1" applyFill="1" applyBorder="1" applyAlignment="1">
      <alignment horizontal="center" vertical="center" wrapText="1"/>
    </xf>
    <xf numFmtId="0" fontId="96" fillId="0" borderId="0" xfId="0" applyFont="1" applyFill="1" applyAlignment="1">
      <alignment vertical="center"/>
    </xf>
    <xf numFmtId="0" fontId="114" fillId="0" borderId="0" xfId="0" applyFont="1" applyFill="1" applyAlignment="1">
      <alignment vertical="center"/>
    </xf>
    <xf numFmtId="0" fontId="115" fillId="0" borderId="0" xfId="0" applyFont="1" applyFill="1" applyAlignment="1">
      <alignment vertical="center"/>
    </xf>
    <xf numFmtId="0" fontId="116"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xf>
    <xf numFmtId="0" fontId="2" fillId="0" borderId="0" xfId="0" applyNumberFormat="1" applyFont="1" applyFill="1" applyAlignment="1">
      <alignment/>
    </xf>
    <xf numFmtId="0" fontId="27" fillId="0" borderId="0" xfId="0" applyFont="1" applyFill="1" applyAlignment="1">
      <alignment horizontal="left" vertical="center"/>
    </xf>
    <xf numFmtId="0" fontId="117" fillId="0" borderId="0" xfId="0" applyFont="1" applyFill="1" applyAlignment="1">
      <alignment horizontal="center" vertical="center"/>
    </xf>
    <xf numFmtId="0" fontId="29" fillId="0" borderId="0" xfId="0" applyFont="1" applyFill="1" applyAlignment="1">
      <alignment horizontal="center" vertical="center"/>
    </xf>
    <xf numFmtId="0" fontId="30"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118" fillId="0" borderId="10" xfId="0" applyFont="1" applyFill="1" applyBorder="1" applyAlignment="1">
      <alignment horizontal="center" vertical="center" wrapText="1"/>
    </xf>
    <xf numFmtId="0" fontId="119" fillId="0" borderId="10" xfId="0" applyFont="1" applyFill="1" applyBorder="1" applyAlignment="1">
      <alignment horizontal="center" vertical="center" wrapText="1"/>
    </xf>
    <xf numFmtId="43" fontId="32" fillId="0" borderId="10" xfId="0" applyNumberFormat="1" applyFont="1" applyFill="1" applyBorder="1" applyAlignment="1">
      <alignment horizontal="center" vertical="center" wrapText="1"/>
    </xf>
    <xf numFmtId="0" fontId="120" fillId="0" borderId="10" xfId="0" applyFont="1" applyFill="1" applyBorder="1" applyAlignment="1">
      <alignment horizontal="center" vertical="center"/>
    </xf>
    <xf numFmtId="0" fontId="120" fillId="0" borderId="10" xfId="0" applyFont="1" applyFill="1" applyBorder="1" applyAlignment="1">
      <alignment horizontal="center" vertical="center" wrapText="1"/>
    </xf>
    <xf numFmtId="43" fontId="34" fillId="0" borderId="10" xfId="16" applyNumberFormat="1" applyFont="1" applyFill="1" applyBorder="1" applyAlignment="1">
      <alignment horizontal="center" vertical="center" wrapText="1"/>
      <protection/>
    </xf>
    <xf numFmtId="43" fontId="34" fillId="0" borderId="10" xfId="0" applyNumberFormat="1" applyFont="1" applyFill="1" applyBorder="1" applyAlignment="1">
      <alignment horizontal="center" vertical="center"/>
    </xf>
    <xf numFmtId="0" fontId="120" fillId="0" borderId="10" xfId="0" applyNumberFormat="1" applyFont="1" applyFill="1" applyBorder="1" applyAlignment="1">
      <alignment horizontal="center" vertical="center" wrapText="1"/>
    </xf>
    <xf numFmtId="0" fontId="120" fillId="0" borderId="10" xfId="16" applyFont="1" applyFill="1" applyBorder="1" applyAlignment="1">
      <alignment horizontal="center" vertical="center" wrapText="1"/>
      <protection/>
    </xf>
    <xf numFmtId="43" fontId="34" fillId="0"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32" fillId="0" borderId="10" xfId="0" applyFont="1" applyFill="1" applyBorder="1" applyAlignment="1">
      <alignment horizontal="center" vertical="center"/>
    </xf>
    <xf numFmtId="178" fontId="32" fillId="0" borderId="10" xfId="0" applyNumberFormat="1" applyFont="1" applyFill="1" applyBorder="1" applyAlignment="1">
      <alignment horizontal="center" vertical="center" wrapText="1"/>
    </xf>
    <xf numFmtId="178" fontId="118" fillId="0" borderId="10" xfId="0" applyNumberFormat="1" applyFont="1" applyFill="1" applyBorder="1" applyAlignment="1">
      <alignment horizontal="center" vertical="center" wrapText="1"/>
    </xf>
    <xf numFmtId="3" fontId="32" fillId="0" borderId="10" xfId="0" applyNumberFormat="1" applyFont="1" applyFill="1" applyBorder="1" applyAlignment="1">
      <alignment horizontal="center" vertical="center" wrapText="1"/>
    </xf>
    <xf numFmtId="3" fontId="34" fillId="0" borderId="10" xfId="0" applyNumberFormat="1" applyFont="1" applyFill="1" applyBorder="1" applyAlignment="1">
      <alignment horizontal="center" vertical="center" wrapText="1"/>
    </xf>
    <xf numFmtId="177" fontId="34"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xf>
    <xf numFmtId="0" fontId="35" fillId="0" borderId="10" xfId="16" applyFont="1" applyFill="1" applyBorder="1" applyAlignment="1">
      <alignment horizontal="center" vertical="center" wrapText="1"/>
      <protection/>
    </xf>
    <xf numFmtId="0" fontId="8" fillId="0" borderId="0" xfId="0" applyNumberFormat="1" applyFont="1" applyFill="1" applyAlignment="1">
      <alignment horizontal="center" vertical="center"/>
    </xf>
    <xf numFmtId="0" fontId="121" fillId="0" borderId="0" xfId="0" applyFont="1" applyFill="1" applyAlignment="1">
      <alignment horizontal="right" vertical="center"/>
    </xf>
    <xf numFmtId="0" fontId="32"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xf>
    <xf numFmtId="0" fontId="122" fillId="0" borderId="0" xfId="0" applyFont="1" applyFill="1" applyAlignment="1">
      <alignment vertical="center"/>
    </xf>
    <xf numFmtId="0" fontId="31" fillId="0" borderId="10" xfId="0" applyNumberFormat="1" applyFont="1" applyFill="1" applyBorder="1" applyAlignment="1">
      <alignment horizontal="center" vertical="center" wrapText="1"/>
    </xf>
    <xf numFmtId="0" fontId="118" fillId="0" borderId="10" xfId="0" applyFont="1" applyFill="1" applyBorder="1" applyAlignment="1">
      <alignment horizontal="center" vertical="center"/>
    </xf>
    <xf numFmtId="0" fontId="118" fillId="0" borderId="0" xfId="0" applyFont="1" applyFill="1" applyAlignment="1">
      <alignment vertical="center"/>
    </xf>
    <xf numFmtId="176" fontId="32" fillId="0" borderId="10" xfId="0" applyNumberFormat="1"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0" fontId="120" fillId="0" borderId="0" xfId="0" applyFont="1" applyFill="1" applyAlignment="1">
      <alignment vertical="center"/>
    </xf>
    <xf numFmtId="0" fontId="123" fillId="0" borderId="0" xfId="0" applyFont="1" applyFill="1" applyAlignment="1">
      <alignment vertical="center"/>
    </xf>
    <xf numFmtId="0" fontId="124" fillId="0" borderId="0" xfId="0" applyFont="1" applyFill="1" applyAlignment="1">
      <alignment vertical="center"/>
    </xf>
    <xf numFmtId="0" fontId="100" fillId="0" borderId="0" xfId="0" applyFont="1" applyFill="1" applyAlignment="1">
      <alignment vertical="center"/>
    </xf>
    <xf numFmtId="0" fontId="125" fillId="0" borderId="0" xfId="0" applyFont="1" applyFill="1" applyAlignment="1">
      <alignment vertical="center"/>
    </xf>
    <xf numFmtId="0" fontId="126" fillId="0" borderId="0" xfId="0" applyFont="1" applyFill="1" applyAlignment="1">
      <alignment horizontal="center" vertical="center"/>
    </xf>
    <xf numFmtId="0" fontId="122" fillId="0" borderId="10" xfId="0" applyFont="1" applyFill="1" applyBorder="1" applyAlignment="1">
      <alignment horizontal="center" vertical="center"/>
    </xf>
    <xf numFmtId="0" fontId="122" fillId="0" borderId="10" xfId="0" applyFont="1" applyFill="1" applyBorder="1" applyAlignment="1">
      <alignment horizontal="center" vertical="center" wrapText="1"/>
    </xf>
    <xf numFmtId="0" fontId="127" fillId="0" borderId="10" xfId="0" applyFont="1" applyFill="1" applyBorder="1" applyAlignment="1">
      <alignment horizontal="center" vertical="center" wrapText="1"/>
    </xf>
    <xf numFmtId="0" fontId="124" fillId="0" borderId="10" xfId="0" applyFont="1" applyFill="1" applyBorder="1" applyAlignment="1">
      <alignment horizontal="center" vertical="center" wrapText="1"/>
    </xf>
    <xf numFmtId="43" fontId="35" fillId="0" borderId="10" xfId="16" applyNumberFormat="1" applyFont="1" applyFill="1" applyBorder="1" applyAlignment="1">
      <alignment horizontal="center" vertical="center" wrapText="1"/>
      <protection/>
    </xf>
    <xf numFmtId="43" fontId="40" fillId="0" borderId="10" xfId="0" applyNumberFormat="1" applyFont="1" applyFill="1" applyBorder="1" applyAlignment="1">
      <alignment horizontal="center" vertical="center" wrapText="1"/>
    </xf>
    <xf numFmtId="43" fontId="35" fillId="0" borderId="10" xfId="0" applyNumberFormat="1" applyFont="1" applyFill="1" applyBorder="1" applyAlignment="1">
      <alignment horizontal="center" vertical="center"/>
    </xf>
    <xf numFmtId="0" fontId="118" fillId="0" borderId="10" xfId="0" applyNumberFormat="1" applyFont="1" applyFill="1" applyBorder="1" applyAlignment="1">
      <alignment horizontal="center" vertical="center" wrapText="1"/>
    </xf>
    <xf numFmtId="0" fontId="118" fillId="0" borderId="10" xfId="0" applyNumberFormat="1" applyFont="1" applyFill="1" applyBorder="1" applyAlignment="1">
      <alignment vertical="center" wrapText="1"/>
    </xf>
    <xf numFmtId="0" fontId="118" fillId="0" borderId="10" xfId="16" applyFont="1" applyFill="1" applyBorder="1" applyAlignment="1">
      <alignment horizontal="center" vertical="center" wrapText="1"/>
      <protection/>
    </xf>
    <xf numFmtId="43" fontId="35" fillId="0" borderId="10" xfId="0" applyNumberFormat="1" applyFont="1" applyFill="1" applyBorder="1" applyAlignment="1">
      <alignment horizontal="center" vertical="center" wrapText="1"/>
    </xf>
    <xf numFmtId="0" fontId="27" fillId="0" borderId="0" xfId="0" applyFont="1" applyFill="1" applyAlignment="1">
      <alignment horizontal="left" vertical="center" wrapText="1"/>
    </xf>
    <xf numFmtId="0" fontId="127" fillId="0" borderId="10" xfId="0" applyFont="1" applyFill="1" applyBorder="1" applyAlignment="1">
      <alignment horizontal="center" vertical="center"/>
    </xf>
    <xf numFmtId="179" fontId="127" fillId="0" borderId="10" xfId="0" applyNumberFormat="1" applyFont="1" applyFill="1" applyBorder="1" applyAlignment="1">
      <alignment horizontal="center" vertical="center" wrapText="1"/>
    </xf>
    <xf numFmtId="178" fontId="127" fillId="0" borderId="10" xfId="0" applyNumberFormat="1" applyFont="1" applyFill="1" applyBorder="1" applyAlignment="1">
      <alignment horizontal="center" vertical="center" wrapText="1"/>
    </xf>
    <xf numFmtId="0" fontId="124" fillId="0" borderId="10" xfId="0" applyFont="1" applyFill="1" applyBorder="1" applyAlignment="1">
      <alignment horizontal="center" vertical="center"/>
    </xf>
    <xf numFmtId="0" fontId="35" fillId="0" borderId="10" xfId="0" applyFont="1" applyFill="1" applyBorder="1" applyAlignment="1">
      <alignment horizontal="center" vertical="center"/>
    </xf>
    <xf numFmtId="0" fontId="40" fillId="0" borderId="10" xfId="0" applyNumberFormat="1" applyFont="1" applyFill="1" applyBorder="1" applyAlignment="1">
      <alignment horizontal="center" vertical="center" wrapText="1"/>
    </xf>
    <xf numFmtId="177" fontId="35" fillId="0" borderId="10" xfId="0" applyNumberFormat="1" applyFont="1" applyFill="1" applyBorder="1" applyAlignment="1">
      <alignment horizontal="center" vertical="center" wrapText="1"/>
    </xf>
    <xf numFmtId="0" fontId="118" fillId="0" borderId="0" xfId="0" applyFont="1" applyFill="1" applyAlignment="1">
      <alignment horizontal="right" vertical="center"/>
    </xf>
    <xf numFmtId="0" fontId="127" fillId="0" borderId="0" xfId="0" applyFont="1" applyFill="1" applyAlignment="1">
      <alignment vertical="center"/>
    </xf>
    <xf numFmtId="176" fontId="35" fillId="0" borderId="10" xfId="0" applyNumberFormat="1" applyFont="1" applyFill="1" applyBorder="1" applyAlignment="1">
      <alignment horizontal="center" vertical="center" wrapText="1"/>
    </xf>
    <xf numFmtId="180" fontId="40" fillId="0" borderId="10" xfId="0" applyNumberFormat="1" applyFont="1" applyFill="1" applyBorder="1" applyAlignment="1">
      <alignment horizontal="center" vertical="center" wrapText="1"/>
    </xf>
    <xf numFmtId="0" fontId="128" fillId="0" borderId="0" xfId="0" applyFont="1" applyFill="1" applyAlignment="1">
      <alignment vertical="center"/>
    </xf>
    <xf numFmtId="0" fontId="129" fillId="0" borderId="0" xfId="0" applyFont="1" applyFill="1" applyAlignment="1">
      <alignment vertical="center"/>
    </xf>
    <xf numFmtId="0" fontId="101" fillId="0" borderId="0" xfId="0" applyNumberFormat="1" applyFont="1" applyFill="1" applyBorder="1" applyAlignment="1">
      <alignment horizontal="center"/>
    </xf>
    <xf numFmtId="0" fontId="9" fillId="0" borderId="0" xfId="0" applyNumberFormat="1" applyFont="1" applyFill="1" applyBorder="1" applyAlignment="1">
      <alignment horizontal="center"/>
    </xf>
    <xf numFmtId="0" fontId="130" fillId="0" borderId="0" xfId="0" applyNumberFormat="1" applyFont="1" applyFill="1" applyBorder="1" applyAlignment="1">
      <alignment horizontal="left" vertical="center"/>
    </xf>
    <xf numFmtId="0" fontId="42" fillId="0" borderId="0" xfId="0" applyNumberFormat="1" applyFont="1" applyFill="1" applyBorder="1" applyAlignment="1">
      <alignment horizontal="left"/>
    </xf>
    <xf numFmtId="0" fontId="42" fillId="0" borderId="0" xfId="0" applyNumberFormat="1" applyFont="1" applyFill="1" applyBorder="1" applyAlignment="1">
      <alignment horizontal="center"/>
    </xf>
    <xf numFmtId="0" fontId="131" fillId="0" borderId="0" xfId="0" applyNumberFormat="1" applyFont="1" applyFill="1" applyBorder="1" applyAlignment="1">
      <alignment horizontal="center" vertical="center"/>
    </xf>
    <xf numFmtId="0" fontId="132" fillId="0" borderId="0" xfId="0" applyNumberFormat="1" applyFont="1" applyFill="1" applyBorder="1" applyAlignment="1">
      <alignment horizontal="center" vertical="center"/>
    </xf>
    <xf numFmtId="0" fontId="133" fillId="0" borderId="0" xfId="0" applyNumberFormat="1" applyFont="1" applyFill="1" applyBorder="1" applyAlignment="1">
      <alignment horizontal="center" vertical="center"/>
    </xf>
    <xf numFmtId="0" fontId="45" fillId="0" borderId="0" xfId="0" applyNumberFormat="1" applyFont="1" applyFill="1" applyBorder="1" applyAlignment="1">
      <alignment horizontal="center" vertical="center"/>
    </xf>
    <xf numFmtId="0" fontId="122" fillId="0" borderId="10" xfId="0" applyNumberFormat="1" applyFont="1" applyFill="1" applyBorder="1" applyAlignment="1">
      <alignment horizontal="center" vertical="center" wrapText="1"/>
    </xf>
    <xf numFmtId="0" fontId="122" fillId="0" borderId="9" xfId="0" applyNumberFormat="1" applyFont="1" applyFill="1" applyBorder="1" applyAlignment="1">
      <alignment horizontal="center" vertical="center" wrapText="1"/>
    </xf>
    <xf numFmtId="0" fontId="122" fillId="0" borderId="18" xfId="0" applyNumberFormat="1" applyFont="1" applyFill="1" applyBorder="1" applyAlignment="1">
      <alignment horizontal="center" vertical="center" wrapText="1"/>
    </xf>
    <xf numFmtId="0" fontId="122" fillId="0" borderId="13" xfId="0" applyNumberFormat="1" applyFont="1" applyFill="1" applyBorder="1" applyAlignment="1">
      <alignment horizontal="center" vertical="center" wrapText="1"/>
    </xf>
    <xf numFmtId="0" fontId="122" fillId="0" borderId="21" xfId="0" applyNumberFormat="1" applyFont="1" applyFill="1" applyBorder="1" applyAlignment="1">
      <alignment horizontal="center" vertical="center" wrapText="1"/>
    </xf>
    <xf numFmtId="0" fontId="118" fillId="0" borderId="13" xfId="0" applyNumberFormat="1" applyFont="1" applyFill="1" applyBorder="1" applyAlignment="1">
      <alignment horizontal="center" vertical="center" wrapText="1"/>
    </xf>
    <xf numFmtId="0" fontId="118" fillId="0" borderId="19" xfId="0" applyNumberFormat="1" applyFont="1" applyFill="1" applyBorder="1" applyAlignment="1">
      <alignment horizontal="center" vertical="center" wrapText="1"/>
    </xf>
    <xf numFmtId="0" fontId="40" fillId="0" borderId="16" xfId="0" applyNumberFormat="1" applyFont="1" applyFill="1" applyBorder="1" applyAlignment="1">
      <alignment horizontal="center" vertical="center" wrapText="1"/>
    </xf>
    <xf numFmtId="0" fontId="35"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xf>
    <xf numFmtId="0" fontId="35" fillId="0" borderId="10" xfId="0" applyNumberFormat="1" applyFont="1" applyFill="1" applyBorder="1" applyAlignment="1">
      <alignment horizontal="center" vertical="center"/>
    </xf>
    <xf numFmtId="0" fontId="46" fillId="0" borderId="10" xfId="0" applyNumberFormat="1" applyFont="1" applyFill="1" applyBorder="1" applyAlignment="1">
      <alignment horizontal="center" vertical="center" wrapText="1"/>
    </xf>
    <xf numFmtId="0" fontId="122" fillId="0" borderId="12" xfId="0" applyNumberFormat="1" applyFont="1" applyFill="1" applyBorder="1" applyAlignment="1">
      <alignment horizontal="center" vertical="center" wrapText="1"/>
    </xf>
    <xf numFmtId="0" fontId="118" fillId="0" borderId="16" xfId="0" applyNumberFormat="1" applyFont="1" applyFill="1" applyBorder="1" applyAlignment="1">
      <alignment horizontal="center" vertical="center" wrapText="1"/>
    </xf>
    <xf numFmtId="43" fontId="40" fillId="0" borderId="16" xfId="0" applyNumberFormat="1" applyFont="1" applyFill="1" applyBorder="1" applyAlignment="1">
      <alignment horizontal="center" vertical="center" wrapText="1"/>
    </xf>
    <xf numFmtId="3" fontId="35" fillId="0" borderId="10" xfId="0" applyNumberFormat="1" applyFont="1" applyFill="1" applyBorder="1" applyAlignment="1">
      <alignment horizontal="center" vertical="center" wrapText="1"/>
    </xf>
    <xf numFmtId="0" fontId="42" fillId="0" borderId="0" xfId="0" applyNumberFormat="1" applyFont="1" applyFill="1" applyBorder="1" applyAlignment="1">
      <alignment/>
    </xf>
    <xf numFmtId="0" fontId="134" fillId="0" borderId="0" xfId="0" applyFont="1" applyFill="1" applyAlignment="1">
      <alignment vertical="center"/>
    </xf>
    <xf numFmtId="0" fontId="135" fillId="0" borderId="0" xfId="0" applyFont="1" applyFill="1" applyAlignment="1">
      <alignment horizontal="right" vertical="center"/>
    </xf>
    <xf numFmtId="0" fontId="121" fillId="0" borderId="10" xfId="0" applyFont="1" applyFill="1" applyBorder="1" applyAlignment="1">
      <alignment horizontal="center" vertical="center"/>
    </xf>
    <xf numFmtId="43" fontId="46" fillId="0" borderId="10" xfId="0" applyNumberFormat="1" applyFont="1" applyFill="1" applyBorder="1" applyAlignment="1">
      <alignment horizontal="center" vertical="center" wrapText="1"/>
    </xf>
    <xf numFmtId="43" fontId="136" fillId="0" borderId="10" xfId="0" applyNumberFormat="1" applyFont="1" applyFill="1" applyBorder="1" applyAlignment="1">
      <alignment horizontal="center" vertical="center"/>
    </xf>
    <xf numFmtId="0" fontId="137" fillId="0" borderId="0" xfId="0" applyFont="1" applyFill="1" applyAlignment="1">
      <alignment vertical="center"/>
    </xf>
    <xf numFmtId="0" fontId="138" fillId="0" borderId="0" xfId="0" applyFont="1" applyFill="1" applyAlignment="1">
      <alignment vertical="center"/>
    </xf>
    <xf numFmtId="0" fontId="139" fillId="0" borderId="0" xfId="0" applyFont="1" applyFill="1" applyAlignment="1">
      <alignment vertical="center"/>
    </xf>
    <xf numFmtId="0" fontId="140" fillId="0" borderId="0" xfId="0" applyNumberFormat="1" applyFont="1" applyFill="1" applyBorder="1" applyAlignment="1">
      <alignment/>
    </xf>
    <xf numFmtId="0" fontId="141" fillId="0" borderId="0" xfId="0" applyNumberFormat="1" applyFont="1" applyFill="1" applyBorder="1" applyAlignment="1">
      <alignment horizontal="left" vertical="center"/>
    </xf>
    <xf numFmtId="0" fontId="46" fillId="0" borderId="0" xfId="0" applyNumberFormat="1" applyFont="1" applyFill="1" applyBorder="1" applyAlignment="1">
      <alignment/>
    </xf>
    <xf numFmtId="0" fontId="142" fillId="0" borderId="0" xfId="0" applyNumberFormat="1" applyFont="1" applyFill="1" applyBorder="1" applyAlignment="1">
      <alignment horizontal="center" vertical="center"/>
    </xf>
    <xf numFmtId="0" fontId="46" fillId="0" borderId="0" xfId="0" applyNumberFormat="1" applyFont="1" applyFill="1" applyBorder="1" applyAlignment="1">
      <alignment horizontal="center" vertical="center"/>
    </xf>
    <xf numFmtId="0" fontId="127" fillId="0" borderId="10" xfId="0" applyNumberFormat="1" applyFont="1" applyFill="1" applyBorder="1" applyAlignment="1">
      <alignment horizontal="center" vertical="center" wrapText="1"/>
    </xf>
    <xf numFmtId="0" fontId="143" fillId="0" borderId="10" xfId="0" applyNumberFormat="1" applyFont="1" applyFill="1" applyBorder="1" applyAlignment="1">
      <alignment horizontal="center" vertical="center" wrapText="1"/>
    </xf>
    <xf numFmtId="0" fontId="37" fillId="0" borderId="10" xfId="0" applyNumberFormat="1" applyFont="1" applyFill="1" applyBorder="1" applyAlignment="1">
      <alignment horizontal="center" vertical="center" wrapText="1"/>
    </xf>
    <xf numFmtId="0" fontId="144" fillId="0" borderId="10" xfId="0" applyFont="1" applyFill="1" applyBorder="1" applyAlignment="1">
      <alignment horizontal="center" vertical="center"/>
    </xf>
    <xf numFmtId="3" fontId="40" fillId="0" borderId="10"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0" fontId="50" fillId="0" borderId="0" xfId="0" applyNumberFormat="1" applyFont="1" applyFill="1" applyAlignment="1">
      <alignment horizontal="left" vertical="center" wrapText="1"/>
    </xf>
    <xf numFmtId="0" fontId="145" fillId="0" borderId="0" xfId="0" applyNumberFormat="1" applyFont="1" applyFill="1" applyBorder="1" applyAlignment="1">
      <alignment/>
    </xf>
    <xf numFmtId="0" fontId="146" fillId="0" borderId="0" xfId="0" applyNumberFormat="1" applyFont="1" applyFill="1" applyBorder="1" applyAlignment="1">
      <alignment horizontal="center" vertical="center"/>
    </xf>
    <xf numFmtId="0" fontId="145" fillId="0" borderId="0" xfId="0" applyNumberFormat="1" applyFont="1" applyFill="1" applyBorder="1" applyAlignment="1">
      <alignment horizontal="center" vertical="center"/>
    </xf>
    <xf numFmtId="0" fontId="147" fillId="0" borderId="0" xfId="0" applyNumberFormat="1" applyFont="1" applyFill="1" applyBorder="1" applyAlignment="1">
      <alignment horizontal="right" vertical="center"/>
    </xf>
    <xf numFmtId="0" fontId="148" fillId="0" borderId="10" xfId="0" applyNumberFormat="1" applyFont="1" applyFill="1" applyBorder="1" applyAlignment="1">
      <alignment horizontal="center" vertical="center" wrapText="1"/>
    </xf>
    <xf numFmtId="0" fontId="149" fillId="0" borderId="0" xfId="0" applyNumberFormat="1" applyFont="1" applyFill="1" applyAlignment="1">
      <alignment horizontal="left" vertical="center" wrapText="1"/>
    </xf>
    <xf numFmtId="0" fontId="55" fillId="0" borderId="0" xfId="0" applyFont="1" applyFill="1" applyAlignment="1">
      <alignment vertical="center"/>
    </xf>
    <xf numFmtId="0" fontId="99" fillId="0" borderId="0" xfId="0" applyFont="1" applyFill="1" applyAlignment="1">
      <alignment vertical="center"/>
    </xf>
    <xf numFmtId="0" fontId="118" fillId="0" borderId="0" xfId="0" applyFont="1" applyFill="1" applyAlignment="1">
      <alignment vertical="center"/>
    </xf>
    <xf numFmtId="0" fontId="150" fillId="0" borderId="0" xfId="0" applyFont="1" applyFill="1" applyAlignment="1">
      <alignment vertical="center"/>
    </xf>
    <xf numFmtId="0" fontId="150" fillId="0" borderId="0" xfId="0" applyFont="1" applyFill="1" applyAlignment="1">
      <alignment horizontal="center" vertical="center"/>
    </xf>
    <xf numFmtId="0" fontId="27" fillId="0" borderId="0" xfId="0" applyFont="1" applyFill="1" applyAlignment="1">
      <alignment vertical="center"/>
    </xf>
    <xf numFmtId="0" fontId="17" fillId="0" borderId="0" xfId="0" applyFont="1" applyFill="1" applyAlignment="1">
      <alignment vertical="center"/>
    </xf>
    <xf numFmtId="0" fontId="151" fillId="0" borderId="0" xfId="0" applyFont="1" applyFill="1" applyAlignment="1" applyProtection="1">
      <alignment horizontal="center" vertical="center"/>
      <protection/>
    </xf>
    <xf numFmtId="0" fontId="127" fillId="0" borderId="10" xfId="0" applyFont="1" applyFill="1" applyBorder="1" applyAlignment="1" applyProtection="1">
      <alignment horizontal="center" vertical="center" wrapText="1"/>
      <protection/>
    </xf>
    <xf numFmtId="0" fontId="127" fillId="0" borderId="13" xfId="0" applyFont="1" applyFill="1" applyBorder="1" applyAlignment="1" applyProtection="1">
      <alignment horizontal="center" vertical="center" wrapText="1"/>
      <protection/>
    </xf>
    <xf numFmtId="0" fontId="127" fillId="0" borderId="21" xfId="0" applyFont="1" applyFill="1" applyBorder="1" applyAlignment="1" applyProtection="1">
      <alignment horizontal="center" vertical="center" wrapText="1"/>
      <protection/>
    </xf>
    <xf numFmtId="0" fontId="127" fillId="0" borderId="12" xfId="0" applyFont="1" applyFill="1" applyBorder="1" applyAlignment="1" applyProtection="1">
      <alignment horizontal="center" vertical="center" wrapText="1"/>
      <protection/>
    </xf>
    <xf numFmtId="0" fontId="127" fillId="0" borderId="12" xfId="0" applyNumberFormat="1" applyFont="1" applyFill="1" applyBorder="1" applyAlignment="1">
      <alignment horizontal="center" vertical="center" wrapText="1"/>
    </xf>
    <xf numFmtId="176" fontId="127" fillId="0" borderId="10" xfId="0" applyNumberFormat="1" applyFont="1" applyFill="1" applyBorder="1" applyAlignment="1">
      <alignment horizontal="center" vertical="center" wrapText="1"/>
    </xf>
    <xf numFmtId="0" fontId="124" fillId="0" borderId="12" xfId="0" applyFont="1" applyFill="1" applyBorder="1" applyAlignment="1" applyProtection="1">
      <alignment horizontal="center" vertical="center" wrapText="1"/>
      <protection/>
    </xf>
    <xf numFmtId="0" fontId="124" fillId="0" borderId="10" xfId="0" applyFont="1" applyFill="1" applyBorder="1" applyAlignment="1" applyProtection="1">
      <alignment horizontal="center" vertical="center" wrapText="1"/>
      <protection/>
    </xf>
    <xf numFmtId="0" fontId="37" fillId="0" borderId="10" xfId="0" applyFont="1" applyFill="1" applyBorder="1" applyAlignment="1" applyProtection="1">
      <alignment horizontal="center" vertical="center" wrapText="1"/>
      <protection/>
    </xf>
    <xf numFmtId="0" fontId="40" fillId="0" borderId="10" xfId="0" applyFont="1" applyFill="1" applyBorder="1" applyAlignment="1" applyProtection="1">
      <alignment horizontal="center" vertical="center" wrapText="1"/>
      <protection/>
    </xf>
    <xf numFmtId="43" fontId="40" fillId="0" borderId="10" xfId="0" applyNumberFormat="1"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xf>
    <xf numFmtId="0" fontId="35" fillId="0" borderId="10" xfId="0" applyFont="1" applyFill="1" applyBorder="1" applyAlignment="1" applyProtection="1">
      <alignment horizontal="center" vertical="center" wrapText="1"/>
      <protection/>
    </xf>
    <xf numFmtId="43" fontId="35" fillId="0" borderId="10" xfId="0" applyNumberFormat="1" applyFont="1" applyFill="1" applyBorder="1" applyAlignment="1" applyProtection="1">
      <alignment horizontal="center" vertical="center" wrapText="1"/>
      <protection/>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3" fontId="27" fillId="0" borderId="10" xfId="0" applyNumberFormat="1" applyFont="1" applyFill="1" applyBorder="1" applyAlignment="1">
      <alignment horizontal="center" vertical="center" wrapText="1"/>
    </xf>
    <xf numFmtId="0" fontId="17" fillId="0" borderId="0" xfId="0" applyFont="1" applyFill="1" applyAlignment="1">
      <alignment horizontal="center" vertical="center"/>
    </xf>
    <xf numFmtId="0" fontId="124" fillId="0" borderId="0" xfId="0" applyFont="1" applyFill="1" applyAlignment="1" applyProtection="1">
      <alignment horizontal="right" vertical="center"/>
      <protection/>
    </xf>
    <xf numFmtId="0" fontId="127" fillId="0" borderId="14" xfId="0" applyFont="1" applyFill="1" applyBorder="1" applyAlignment="1" applyProtection="1">
      <alignment horizontal="center" vertical="center" wrapText="1"/>
      <protection/>
    </xf>
    <xf numFmtId="0" fontId="127" fillId="0" borderId="16" xfId="0" applyFont="1" applyFill="1" applyBorder="1" applyAlignment="1" applyProtection="1">
      <alignment horizontal="center" vertical="center" wrapText="1"/>
      <protection/>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 vertical="center"/>
    </xf>
    <xf numFmtId="43" fontId="40" fillId="0" borderId="10" xfId="0" applyNumberFormat="1" applyFont="1" applyFill="1" applyBorder="1" applyAlignment="1">
      <alignment horizontal="center" vertical="center"/>
    </xf>
    <xf numFmtId="0" fontId="27" fillId="0" borderId="0" xfId="0" applyFont="1" applyFill="1" applyAlignment="1" applyProtection="1">
      <alignment horizontal="left" vertical="center" wrapText="1"/>
      <protection/>
    </xf>
    <xf numFmtId="0" fontId="35" fillId="0" borderId="0" xfId="0" applyFont="1" applyFill="1" applyAlignment="1" applyProtection="1">
      <alignment horizontal="left" vertical="center" wrapText="1"/>
      <protection/>
    </xf>
    <xf numFmtId="0" fontId="0" fillId="0" borderId="0" xfId="0" applyFont="1" applyFill="1" applyAlignment="1">
      <alignment vertical="center"/>
    </xf>
    <xf numFmtId="43" fontId="150" fillId="0" borderId="0" xfId="0" applyNumberFormat="1" applyFont="1" applyFill="1" applyAlignment="1">
      <alignment vertical="center"/>
    </xf>
    <xf numFmtId="43" fontId="150" fillId="0" borderId="0" xfId="0" applyNumberFormat="1" applyFont="1" applyFill="1" applyAlignment="1">
      <alignment horizontal="center" vertical="center"/>
    </xf>
    <xf numFmtId="43" fontId="134" fillId="0" borderId="0" xfId="0" applyNumberFormat="1" applyFont="1" applyFill="1" applyAlignment="1">
      <alignment vertical="center"/>
    </xf>
    <xf numFmtId="0" fontId="134" fillId="0" borderId="0" xfId="0" applyFont="1" applyFill="1" applyAlignment="1">
      <alignment horizontal="center" vertical="center"/>
    </xf>
    <xf numFmtId="43" fontId="134" fillId="0" borderId="0" xfId="0" applyNumberFormat="1" applyFont="1" applyFill="1" applyAlignment="1">
      <alignment horizontal="center" vertical="center"/>
    </xf>
    <xf numFmtId="0" fontId="151" fillId="0" borderId="0" xfId="0" applyFont="1" applyFill="1" applyBorder="1" applyAlignment="1" applyProtection="1">
      <alignment horizontal="center" vertical="center"/>
      <protection/>
    </xf>
    <xf numFmtId="0" fontId="151" fillId="0" borderId="0" xfId="0" applyFont="1" applyFill="1" applyBorder="1" applyAlignment="1">
      <alignment horizontal="center" vertical="center"/>
    </xf>
    <xf numFmtId="181" fontId="151" fillId="0" borderId="0" xfId="0" applyNumberFormat="1" applyFont="1" applyFill="1" applyBorder="1" applyAlignment="1">
      <alignment horizontal="center" vertical="center"/>
    </xf>
    <xf numFmtId="0" fontId="152" fillId="0" borderId="10" xfId="0" applyFont="1" applyFill="1" applyBorder="1" applyAlignment="1" applyProtection="1">
      <alignment horizontal="center" vertical="center" wrapText="1"/>
      <protection/>
    </xf>
    <xf numFmtId="0" fontId="153" fillId="0" borderId="10" xfId="0" applyFont="1" applyFill="1" applyBorder="1" applyAlignment="1">
      <alignment horizontal="center" vertical="center" wrapText="1"/>
    </xf>
    <xf numFmtId="181" fontId="153" fillId="0" borderId="10" xfId="0" applyNumberFormat="1" applyFont="1" applyFill="1" applyBorder="1" applyAlignment="1">
      <alignment horizontal="center" vertical="center" wrapText="1"/>
    </xf>
    <xf numFmtId="43" fontId="153" fillId="0" borderId="10" xfId="0" applyNumberFormat="1" applyFont="1" applyFill="1" applyBorder="1" applyAlignment="1">
      <alignment horizontal="center" vertical="center" wrapText="1"/>
    </xf>
    <xf numFmtId="176" fontId="153" fillId="0" borderId="10" xfId="0" applyNumberFormat="1" applyFont="1" applyFill="1" applyBorder="1" applyAlignment="1">
      <alignment horizontal="center" vertical="center" wrapText="1"/>
    </xf>
    <xf numFmtId="0" fontId="153" fillId="0" borderId="10" xfId="0" applyNumberFormat="1" applyFont="1" applyFill="1" applyBorder="1" applyAlignment="1">
      <alignment horizontal="center" vertical="center" wrapText="1"/>
    </xf>
    <xf numFmtId="0" fontId="125" fillId="0" borderId="10" xfId="0" applyFont="1" applyFill="1" applyBorder="1" applyAlignment="1" applyProtection="1">
      <alignment horizontal="center" vertical="center" wrapText="1"/>
      <protection/>
    </xf>
    <xf numFmtId="0" fontId="143" fillId="0" borderId="10" xfId="0" applyFont="1" applyFill="1" applyBorder="1" applyAlignment="1">
      <alignment horizontal="center" vertical="center" wrapText="1"/>
    </xf>
    <xf numFmtId="43" fontId="143" fillId="0" borderId="10" xfId="0" applyNumberFormat="1" applyFont="1" applyFill="1" applyBorder="1" applyAlignment="1">
      <alignment horizontal="center" vertical="center" wrapText="1"/>
    </xf>
    <xf numFmtId="0" fontId="99" fillId="0" borderId="10" xfId="0" applyFont="1" applyFill="1" applyBorder="1" applyAlignment="1" applyProtection="1">
      <alignment horizontal="center" vertical="center" wrapText="1"/>
      <protection/>
    </xf>
    <xf numFmtId="0" fontId="57" fillId="0" borderId="10" xfId="0" applyFont="1" applyFill="1" applyBorder="1" applyAlignment="1">
      <alignment horizontal="center" vertical="center" wrapText="1"/>
    </xf>
    <xf numFmtId="43" fontId="57" fillId="0" borderId="10" xfId="0" applyNumberFormat="1" applyFont="1" applyFill="1" applyBorder="1" applyAlignment="1">
      <alignment horizontal="center" vertical="center" wrapText="1"/>
    </xf>
    <xf numFmtId="0" fontId="100" fillId="0" borderId="10" xfId="0" applyFont="1" applyFill="1" applyBorder="1" applyAlignment="1" applyProtection="1">
      <alignment horizontal="center" vertical="center" wrapText="1"/>
      <protection/>
    </xf>
    <xf numFmtId="3" fontId="57" fillId="0" borderId="10"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43" fontId="17" fillId="0" borderId="10" xfId="0" applyNumberFormat="1" applyFont="1" applyFill="1" applyBorder="1" applyAlignment="1">
      <alignment horizontal="center" vertical="center" wrapText="1"/>
    </xf>
    <xf numFmtId="0" fontId="17" fillId="0" borderId="10" xfId="23" applyNumberFormat="1" applyFont="1" applyFill="1" applyBorder="1" applyAlignment="1">
      <alignment horizontal="center" vertical="center"/>
    </xf>
    <xf numFmtId="43" fontId="17" fillId="0" borderId="10" xfId="23" applyNumberFormat="1" applyFont="1" applyFill="1" applyBorder="1" applyAlignment="1">
      <alignment horizontal="center" vertical="center"/>
    </xf>
    <xf numFmtId="0" fontId="57" fillId="0" borderId="10" xfId="0" applyFont="1" applyFill="1" applyBorder="1" applyAlignment="1">
      <alignment horizontal="center" vertical="center"/>
    </xf>
    <xf numFmtId="43" fontId="57" fillId="0" borderId="10" xfId="0" applyNumberFormat="1" applyFont="1" applyFill="1" applyBorder="1" applyAlignment="1">
      <alignment horizontal="center" vertical="center"/>
    </xf>
    <xf numFmtId="0" fontId="57" fillId="0" borderId="10" xfId="0" applyNumberFormat="1" applyFont="1" applyFill="1" applyBorder="1" applyAlignment="1">
      <alignment horizontal="center" vertical="center" wrapText="1"/>
    </xf>
    <xf numFmtId="43" fontId="57" fillId="0" borderId="10" xfId="23" applyNumberFormat="1" applyFont="1" applyFill="1" applyBorder="1" applyAlignment="1">
      <alignment horizontal="center" vertical="center"/>
    </xf>
    <xf numFmtId="3" fontId="17" fillId="0" borderId="10"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xf>
    <xf numFmtId="0" fontId="154" fillId="0" borderId="10" xfId="0" applyFont="1" applyFill="1" applyBorder="1" applyAlignment="1">
      <alignment horizontal="center" vertical="center"/>
    </xf>
    <xf numFmtId="43" fontId="154" fillId="0" borderId="10" xfId="0" applyNumberFormat="1" applyFont="1" applyFill="1" applyBorder="1" applyAlignment="1">
      <alignment horizontal="center" vertical="center"/>
    </xf>
    <xf numFmtId="177" fontId="17" fillId="0" borderId="10" xfId="0" applyNumberFormat="1" applyFont="1" applyFill="1" applyBorder="1" applyAlignment="1">
      <alignment horizontal="center" vertical="center"/>
    </xf>
    <xf numFmtId="43" fontId="17" fillId="0" borderId="10" xfId="0" applyNumberFormat="1" applyFont="1" applyFill="1" applyBorder="1" applyAlignment="1">
      <alignment horizontal="center" vertical="center"/>
    </xf>
    <xf numFmtId="0" fontId="17" fillId="0" borderId="10" xfId="0" applyFont="1" applyFill="1" applyBorder="1" applyAlignment="1">
      <alignment horizontal="center" vertical="center"/>
    </xf>
    <xf numFmtId="181" fontId="143" fillId="0" borderId="0" xfId="0" applyNumberFormat="1" applyFont="1" applyFill="1" applyBorder="1" applyAlignment="1">
      <alignment horizontal="right" vertical="center"/>
    </xf>
    <xf numFmtId="0" fontId="8" fillId="0" borderId="0" xfId="0" applyFont="1" applyFill="1" applyAlignment="1" applyProtection="1">
      <alignment horizontal="left" vertical="top" wrapText="1"/>
      <protection/>
    </xf>
    <xf numFmtId="0" fontId="59" fillId="0" borderId="0" xfId="0" applyFont="1" applyFill="1" applyAlignment="1" applyProtection="1">
      <alignment horizontal="left" vertical="top" wrapText="1"/>
      <protection/>
    </xf>
    <xf numFmtId="0" fontId="0" fillId="0" borderId="0" xfId="0" applyFont="1" applyFill="1" applyAlignment="1">
      <alignment vertical="center"/>
    </xf>
    <xf numFmtId="0" fontId="2" fillId="0" borderId="0" xfId="0" applyFont="1" applyFill="1" applyAlignment="1">
      <alignment vertical="center"/>
    </xf>
    <xf numFmtId="0" fontId="60" fillId="0" borderId="0" xfId="0" applyFont="1" applyFill="1" applyAlignment="1">
      <alignment vertical="center"/>
    </xf>
    <xf numFmtId="0" fontId="8" fillId="0" borderId="0" xfId="0" applyFont="1" applyFill="1" applyAlignment="1">
      <alignment vertical="center"/>
    </xf>
    <xf numFmtId="0" fontId="126" fillId="0" borderId="0" xfId="0" applyFont="1" applyFill="1" applyAlignment="1">
      <alignment horizontal="center" vertical="center" wrapText="1"/>
    </xf>
    <xf numFmtId="0" fontId="8" fillId="0" borderId="0" xfId="0" applyFont="1" applyFill="1" applyAlignment="1">
      <alignment horizontal="right" vertical="center"/>
    </xf>
    <xf numFmtId="0" fontId="6" fillId="0" borderId="10" xfId="0" applyFont="1" applyFill="1" applyBorder="1" applyAlignment="1">
      <alignment horizontal="center" vertical="center" wrapText="1"/>
    </xf>
    <xf numFmtId="43" fontId="61" fillId="0" borderId="10" xfId="23" applyNumberFormat="1" applyFont="1" applyFill="1" applyBorder="1" applyAlignment="1">
      <alignment horizontal="center" vertical="center"/>
    </xf>
    <xf numFmtId="43" fontId="62" fillId="0" borderId="10" xfId="0" applyNumberFormat="1" applyFont="1" applyFill="1" applyBorder="1" applyAlignment="1">
      <alignment vertical="center"/>
    </xf>
    <xf numFmtId="43" fontId="62" fillId="0" borderId="10" xfId="23" applyNumberFormat="1" applyFont="1" applyFill="1" applyBorder="1" applyAlignment="1">
      <alignment horizontal="center" vertical="center"/>
    </xf>
    <xf numFmtId="43" fontId="62" fillId="0" borderId="10" xfId="23" applyNumberFormat="1" applyFont="1" applyFill="1" applyBorder="1" applyAlignment="1">
      <alignment horizontal="left" vertical="center" wrapText="1"/>
    </xf>
    <xf numFmtId="0" fontId="63" fillId="0" borderId="10" xfId="0" applyFont="1" applyFill="1" applyBorder="1" applyAlignment="1" applyProtection="1">
      <alignment horizontal="center" vertical="center" wrapText="1"/>
      <protection/>
    </xf>
    <xf numFmtId="43" fontId="62" fillId="0" borderId="10" xfId="0" applyNumberFormat="1" applyFont="1" applyFill="1" applyBorder="1" applyAlignment="1">
      <alignment horizontal="center" vertical="center"/>
    </xf>
    <xf numFmtId="0" fontId="6" fillId="0" borderId="10" xfId="66" applyNumberFormat="1" applyFont="1" applyFill="1" applyBorder="1" applyAlignment="1">
      <alignment horizontal="center" vertical="center" wrapText="1"/>
    </xf>
    <xf numFmtId="0" fontId="1" fillId="0" borderId="10" xfId="66"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1" fillId="0" borderId="0" xfId="0" applyFont="1" applyFill="1" applyAlignment="1">
      <alignment horizontal="left" vertical="center"/>
    </xf>
  </cellXfs>
  <cellStyles count="53">
    <cellStyle name="Normal" xfId="0"/>
    <cellStyle name="Currency [0]" xfId="15"/>
    <cellStyle name="常规_订单定向免费培养农村卫生人才项目"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Sheet13_2017住培 (2)_1" xfId="64"/>
    <cellStyle name="常规_分县年报格式" xfId="65"/>
    <cellStyle name="常规_Sheet1_Sheet1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3.&#32463;&#36153;\2023\2023&#24180;&#30465;&#32423;&#32463;&#36153;&#21021;&#31295;\&#20013;&#21307;&#25968;&#25454;-&#20237;&#22788;&#34917;&#20805;\232.e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AppData\Local\Temp\HZ$D.781.3737\HZ$D.781.3738\2020&#24180;&#21355;&#29983;&#20154;&#25165;&#22521;&#35757;&#39033;&#30446;&#36164;&#37329;&#20998;&#37197;&#27979;&#31639;&#34920;\&#31616;&#29256;&#24050;&#35843;&#25972;-2020&#24180;&#21355;&#29983;&#20154;&#25165;&#22521;&#35757;&#39033;&#30446;&#36164;&#37329;&#20998;&#37197;&#27979;&#31639;&#34920;&#65288;&#20303;&#38498;&#21307;&#24072;&#35268;&#33539;&#21270;&#22521;&#35757;&#39033;&#30446;&#6528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住培"/>
    </sheetNames>
    <sheetDataSet>
      <sheetData sheetId="0">
        <row r="1">
          <cell r="A1" t="str">
            <v>附件9-1</v>
          </cell>
        </row>
        <row r="2">
          <cell r="A2" t="str">
            <v>2023年住院医师规范化培训（社会人学员）资金测算表</v>
          </cell>
        </row>
        <row r="3">
          <cell r="A3" t="str">
            <v>项目单位</v>
          </cell>
          <cell r="B3" t="str">
            <v>结算2021年经费</v>
          </cell>
        </row>
        <row r="4">
          <cell r="B4" t="str">
            <v>2019级在培人数（人）</v>
          </cell>
          <cell r="C4" t="str">
            <v>2020级在培人数（人）</v>
          </cell>
          <cell r="D4" t="str">
            <v>2021级在培人数（人）</v>
          </cell>
          <cell r="E4" t="str">
            <v>2021年应补助金额</v>
          </cell>
          <cell r="F4" t="str">
            <v>2021年已预拨金额</v>
          </cell>
        </row>
        <row r="5">
          <cell r="B5" t="str">
            <v>1栏</v>
          </cell>
          <cell r="C5" t="str">
            <v>2栏</v>
          </cell>
          <cell r="D5" t="str">
            <v>3栏</v>
          </cell>
          <cell r="E5" t="str">
            <v>4栏=（1栏+2栏+3栏）*1.5</v>
          </cell>
          <cell r="F5" t="str">
            <v>5栏</v>
          </cell>
        </row>
        <row r="6">
          <cell r="A6" t="str">
            <v>中医住培小计</v>
          </cell>
          <cell r="B6">
            <v>707</v>
          </cell>
          <cell r="C6">
            <v>611</v>
          </cell>
          <cell r="D6">
            <v>693</v>
          </cell>
          <cell r="E6">
            <v>3016.5</v>
          </cell>
          <cell r="F6">
            <v>2923.5</v>
          </cell>
        </row>
        <row r="7">
          <cell r="A7" t="str">
            <v>合计</v>
          </cell>
          <cell r="B7">
            <v>339</v>
          </cell>
          <cell r="C7">
            <v>320</v>
          </cell>
          <cell r="D7">
            <v>282</v>
          </cell>
          <cell r="E7">
            <v>1404.5</v>
          </cell>
          <cell r="F7">
            <v>1392</v>
          </cell>
        </row>
        <row r="8">
          <cell r="A8" t="str">
            <v>省本级小计</v>
          </cell>
          <cell r="B8">
            <v>339</v>
          </cell>
          <cell r="C8">
            <v>320</v>
          </cell>
          <cell r="D8">
            <v>268</v>
          </cell>
          <cell r="E8">
            <v>1390.5</v>
          </cell>
          <cell r="F8">
            <v>1392</v>
          </cell>
        </row>
        <row r="9">
          <cell r="A9" t="str">
            <v>省卫生健康委</v>
          </cell>
          <cell r="B9">
            <v>0</v>
          </cell>
          <cell r="C9">
            <v>0</v>
          </cell>
          <cell r="D9">
            <v>0</v>
          </cell>
          <cell r="E9">
            <v>0</v>
          </cell>
          <cell r="F9">
            <v>0</v>
          </cell>
        </row>
        <row r="10">
          <cell r="A10" t="str">
            <v>广东省卫生健康委</v>
          </cell>
        </row>
        <row r="11">
          <cell r="A11" t="str">
            <v>广东省人民医院</v>
          </cell>
        </row>
        <row r="12">
          <cell r="A12" t="str">
            <v>广东省妇幼保健院</v>
          </cell>
        </row>
        <row r="13">
          <cell r="A13" t="str">
            <v>南方医科大学口腔医院</v>
          </cell>
        </row>
        <row r="14">
          <cell r="A14" t="str">
            <v>广东医科大学附属医院</v>
          </cell>
        </row>
        <row r="15">
          <cell r="A15" t="str">
            <v>汕头大学医学院第一附属医院</v>
          </cell>
        </row>
        <row r="16">
          <cell r="A16" t="str">
            <v>广东省第二人民医院</v>
          </cell>
        </row>
        <row r="17">
          <cell r="A17" t="str">
            <v>南方医科大学</v>
          </cell>
        </row>
        <row r="18">
          <cell r="A18" t="str">
            <v>南方医科大学南方医院</v>
          </cell>
        </row>
        <row r="19">
          <cell r="A19" t="str">
            <v>南方医科大学珠江医院</v>
          </cell>
        </row>
        <row r="20">
          <cell r="A20" t="str">
            <v>南方医科大学第三附属医院</v>
          </cell>
        </row>
        <row r="21">
          <cell r="A21" t="str">
            <v>南方医科大学附属第五医院</v>
          </cell>
        </row>
        <row r="22">
          <cell r="A22" t="str">
            <v>广东药科大学附属第一医院</v>
          </cell>
        </row>
        <row r="23">
          <cell r="A23" t="str">
            <v>中山大学附属第一医院</v>
          </cell>
        </row>
        <row r="24">
          <cell r="A24" t="str">
            <v>中山大学孙逸仙纪念医院</v>
          </cell>
        </row>
        <row r="25">
          <cell r="A25" t="str">
            <v>中山大学附属第三医院</v>
          </cell>
        </row>
        <row r="26">
          <cell r="A26" t="str">
            <v>中山大学肿瘤防治中心</v>
          </cell>
        </row>
        <row r="27">
          <cell r="A27" t="str">
            <v>中山大学附属口腔医院</v>
          </cell>
        </row>
        <row r="28">
          <cell r="A28" t="str">
            <v>中山大学中山眼科中心</v>
          </cell>
        </row>
        <row r="29">
          <cell r="A29" t="str">
            <v>中山大学附属第六医院</v>
          </cell>
        </row>
        <row r="30">
          <cell r="A30" t="str">
            <v>暨南大学附属第一医院</v>
          </cell>
        </row>
        <row r="31">
          <cell r="A31" t="str">
            <v>中国人民解放军南部战区总医院</v>
          </cell>
        </row>
        <row r="32">
          <cell r="A32" t="str">
            <v>广东省中医药局</v>
          </cell>
          <cell r="B32">
            <v>339</v>
          </cell>
          <cell r="C32">
            <v>320</v>
          </cell>
          <cell r="D32">
            <v>268</v>
          </cell>
          <cell r="E32">
            <v>1390.5</v>
          </cell>
          <cell r="F32">
            <v>1392</v>
          </cell>
        </row>
        <row r="33">
          <cell r="A33" t="str">
            <v>广东省第二中医院</v>
          </cell>
          <cell r="B33">
            <v>39</v>
          </cell>
          <cell r="C33">
            <v>40</v>
          </cell>
          <cell r="D33">
            <v>21</v>
          </cell>
          <cell r="E33">
            <v>150</v>
          </cell>
          <cell r="F33">
            <v>162</v>
          </cell>
        </row>
        <row r="34">
          <cell r="A34" t="str">
            <v>广州中医药大学第一附属医院</v>
          </cell>
          <cell r="B34">
            <v>126</v>
          </cell>
          <cell r="C34">
            <v>85</v>
          </cell>
          <cell r="D34">
            <v>49</v>
          </cell>
          <cell r="E34">
            <v>390</v>
          </cell>
          <cell r="F34">
            <v>513</v>
          </cell>
        </row>
        <row r="35">
          <cell r="A35" t="str">
            <v>广东省中医院</v>
          </cell>
          <cell r="B35">
            <v>142</v>
          </cell>
          <cell r="C35">
            <v>162</v>
          </cell>
          <cell r="D35">
            <v>141</v>
          </cell>
          <cell r="E35">
            <v>667.5</v>
          </cell>
          <cell r="F35">
            <v>591</v>
          </cell>
        </row>
        <row r="36">
          <cell r="A36" t="str">
            <v>广州中医药大学第三附属医院</v>
          </cell>
          <cell r="B36">
            <v>0</v>
          </cell>
          <cell r="C36">
            <v>0</v>
          </cell>
          <cell r="D36">
            <v>9</v>
          </cell>
          <cell r="E36">
            <v>13.5</v>
          </cell>
          <cell r="F36">
            <v>0</v>
          </cell>
        </row>
        <row r="37">
          <cell r="A37" t="str">
            <v>南方医科大学中西医结合医院</v>
          </cell>
          <cell r="B37">
            <v>32</v>
          </cell>
          <cell r="C37">
            <v>33</v>
          </cell>
          <cell r="D37">
            <v>48</v>
          </cell>
          <cell r="E37">
            <v>169.5</v>
          </cell>
          <cell r="F37">
            <v>126</v>
          </cell>
        </row>
        <row r="38">
          <cell r="A38" t="str">
            <v>地市小计</v>
          </cell>
          <cell r="B38" t="str">
            <v>广州市中西医结合医院</v>
          </cell>
          <cell r="D38">
            <v>14</v>
          </cell>
          <cell r="E38">
            <v>14</v>
          </cell>
        </row>
        <row r="39">
          <cell r="A39" t="str">
            <v>广州市</v>
          </cell>
          <cell r="B39" t="str">
            <v>广州市中医医院</v>
          </cell>
          <cell r="C39">
            <v>51</v>
          </cell>
          <cell r="D39">
            <v>51</v>
          </cell>
          <cell r="E39">
            <v>51</v>
          </cell>
        </row>
        <row r="40">
          <cell r="A40" t="str">
            <v>广州医科大学附属脑科医院</v>
          </cell>
          <cell r="B40" t="str">
            <v>广州中医药大学深圳医院（福田）</v>
          </cell>
          <cell r="D40">
            <v>50</v>
          </cell>
          <cell r="E40">
            <v>50</v>
          </cell>
        </row>
        <row r="41">
          <cell r="A41" t="str">
            <v>广州市第一人民医院</v>
          </cell>
          <cell r="B41" t="str">
            <v>深圳市宝安区中医院</v>
          </cell>
          <cell r="D41">
            <v>75</v>
          </cell>
          <cell r="E41">
            <v>75</v>
          </cell>
        </row>
        <row r="42">
          <cell r="A42" t="str">
            <v>广州市红十字会医院</v>
          </cell>
          <cell r="B42" t="str">
            <v>深圳市中医院</v>
          </cell>
          <cell r="C42">
            <v>118</v>
          </cell>
          <cell r="D42">
            <v>118</v>
          </cell>
          <cell r="E42">
            <v>118</v>
          </cell>
        </row>
        <row r="43">
          <cell r="A43" t="str">
            <v>广州市妇女儿童医疗中心</v>
          </cell>
          <cell r="B43" t="str">
            <v>汕头市中医医院</v>
          </cell>
          <cell r="D43">
            <v>10</v>
          </cell>
          <cell r="E43">
            <v>0</v>
          </cell>
        </row>
        <row r="44">
          <cell r="A44" t="str">
            <v>广州医科大学附属第一医院</v>
          </cell>
          <cell r="B44" t="str">
            <v>广东省中西医结合医院</v>
          </cell>
          <cell r="D44">
            <v>15</v>
          </cell>
          <cell r="E44">
            <v>15</v>
          </cell>
        </row>
        <row r="45">
          <cell r="A45" t="str">
            <v>广州医科大学附属第二医院</v>
          </cell>
          <cell r="B45" t="str">
            <v>广州中医药大学顺德医院</v>
          </cell>
          <cell r="D45">
            <v>7</v>
          </cell>
          <cell r="E45">
            <v>7</v>
          </cell>
        </row>
        <row r="46">
          <cell r="A46" t="str">
            <v>广州医科大学附属第三医院</v>
          </cell>
          <cell r="B46" t="str">
            <v>佛山市中医院</v>
          </cell>
          <cell r="C46">
            <v>56</v>
          </cell>
          <cell r="D46">
            <v>56</v>
          </cell>
          <cell r="E46">
            <v>56</v>
          </cell>
        </row>
        <row r="47">
          <cell r="A47" t="str">
            <v>广州医科大学附属肿瘤医院</v>
          </cell>
          <cell r="B47" t="str">
            <v>广州中医药大学惠州医院</v>
          </cell>
          <cell r="D47">
            <v>12</v>
          </cell>
          <cell r="E47">
            <v>12</v>
          </cell>
        </row>
        <row r="48">
          <cell r="A48" t="str">
            <v>广州市中西医结合医院</v>
          </cell>
          <cell r="B48">
            <v>0</v>
          </cell>
          <cell r="C48">
            <v>0</v>
          </cell>
          <cell r="D48">
            <v>13</v>
          </cell>
          <cell r="E48">
            <v>19.5</v>
          </cell>
          <cell r="F48">
            <v>0</v>
          </cell>
        </row>
        <row r="49">
          <cell r="A49" t="str">
            <v>广州市中医医院</v>
          </cell>
          <cell r="B49">
            <v>51</v>
          </cell>
          <cell r="C49">
            <v>32</v>
          </cell>
          <cell r="D49">
            <v>34</v>
          </cell>
          <cell r="E49">
            <v>175.5</v>
          </cell>
          <cell r="F49">
            <v>198</v>
          </cell>
        </row>
        <row r="50">
          <cell r="A50" t="str">
            <v>深圳市</v>
          </cell>
          <cell r="B50" t="str">
            <v>江门市五邑中医院</v>
          </cell>
          <cell r="C50">
            <v>17</v>
          </cell>
          <cell r="D50">
            <v>17</v>
          </cell>
          <cell r="E50">
            <v>17</v>
          </cell>
        </row>
        <row r="51">
          <cell r="A51" t="str">
            <v>北京大学深圳医院</v>
          </cell>
          <cell r="B51" t="str">
            <v>阳江市中医医院</v>
          </cell>
          <cell r="D51">
            <v>5</v>
          </cell>
          <cell r="E51">
            <v>5</v>
          </cell>
        </row>
        <row r="52">
          <cell r="A52" t="str">
            <v>深圳市人民医院</v>
          </cell>
          <cell r="B52" t="str">
            <v>清远市中医院</v>
          </cell>
          <cell r="D52">
            <v>9</v>
          </cell>
          <cell r="E52">
            <v>9</v>
          </cell>
        </row>
        <row r="53">
          <cell r="A53" t="str">
            <v>深圳市第二人民医院</v>
          </cell>
        </row>
        <row r="54">
          <cell r="A54" t="str">
            <v>华中科技大学协和深圳医院（深圳市南山区人民医院）</v>
          </cell>
        </row>
        <row r="55">
          <cell r="A55" t="str">
            <v>深圳市儿童医院</v>
          </cell>
        </row>
        <row r="56">
          <cell r="A56" t="str">
            <v>香港大学深圳医院</v>
          </cell>
        </row>
        <row r="57">
          <cell r="A57" t="str">
            <v>深圳市第三人民医院</v>
          </cell>
        </row>
        <row r="58">
          <cell r="A58" t="str">
            <v>深圳市罗湖区人民医院</v>
          </cell>
        </row>
        <row r="59">
          <cell r="A59" t="str">
            <v>深圳市康宁医院</v>
          </cell>
        </row>
        <row r="60">
          <cell r="A60" t="str">
            <v>广州中医药大学深圳医院（福田）</v>
          </cell>
          <cell r="B60">
            <v>0</v>
          </cell>
          <cell r="C60">
            <v>0</v>
          </cell>
          <cell r="D60">
            <v>49</v>
          </cell>
          <cell r="E60">
            <v>73.5</v>
          </cell>
          <cell r="F60">
            <v>0</v>
          </cell>
        </row>
        <row r="61">
          <cell r="A61" t="str">
            <v>深圳市宝安区中医院</v>
          </cell>
          <cell r="B61">
            <v>0</v>
          </cell>
          <cell r="C61">
            <v>0</v>
          </cell>
          <cell r="D61">
            <v>72</v>
          </cell>
          <cell r="E61">
            <v>108</v>
          </cell>
          <cell r="F61">
            <v>0</v>
          </cell>
        </row>
        <row r="62">
          <cell r="A62" t="str">
            <v>深圳市中医院</v>
          </cell>
          <cell r="B62">
            <v>118</v>
          </cell>
          <cell r="C62">
            <v>120</v>
          </cell>
          <cell r="D62">
            <v>59</v>
          </cell>
          <cell r="E62">
            <v>445.5</v>
          </cell>
          <cell r="F62">
            <v>504</v>
          </cell>
        </row>
        <row r="63">
          <cell r="A63" t="str">
            <v>珠海市</v>
          </cell>
          <cell r="B63">
            <v>0</v>
          </cell>
          <cell r="C63">
            <v>0</v>
          </cell>
          <cell r="D63">
            <v>0</v>
          </cell>
          <cell r="E63">
            <v>0</v>
          </cell>
        </row>
        <row r="64">
          <cell r="A64" t="str">
            <v>珠海市人民医院</v>
          </cell>
        </row>
        <row r="65">
          <cell r="A65" t="str">
            <v>中山大学附属第五医院</v>
          </cell>
        </row>
        <row r="66">
          <cell r="A66" t="str">
            <v>汕头市</v>
          </cell>
          <cell r="B66">
            <v>0</v>
          </cell>
          <cell r="C66">
            <v>0</v>
          </cell>
          <cell r="D66">
            <v>0</v>
          </cell>
          <cell r="E66">
            <v>0</v>
          </cell>
        </row>
        <row r="67">
          <cell r="A67" t="str">
            <v>汕头市中心医院</v>
          </cell>
        </row>
        <row r="68">
          <cell r="A68" t="str">
            <v>汕头市中医医院</v>
          </cell>
          <cell r="B68">
            <v>0</v>
          </cell>
          <cell r="C68">
            <v>0</v>
          </cell>
          <cell r="D68">
            <v>2</v>
          </cell>
          <cell r="E68">
            <v>3</v>
          </cell>
          <cell r="F68">
            <v>0</v>
          </cell>
        </row>
        <row r="69">
          <cell r="A69" t="str">
            <v>佛山市</v>
          </cell>
          <cell r="B69">
            <v>56</v>
          </cell>
          <cell r="C69">
            <v>50</v>
          </cell>
          <cell r="D69">
            <v>78</v>
          </cell>
          <cell r="E69">
            <v>276</v>
          </cell>
        </row>
        <row r="70">
          <cell r="A70" t="str">
            <v>佛山市第一人民医院</v>
          </cell>
        </row>
        <row r="71">
          <cell r="A71" t="str">
            <v>南方医科大学顺德医院</v>
          </cell>
        </row>
        <row r="72">
          <cell r="A72" t="str">
            <v>佛山市禅城区中心医院</v>
          </cell>
        </row>
        <row r="73">
          <cell r="A73" t="str">
            <v>广东省中西医结合医院</v>
          </cell>
          <cell r="B73">
            <v>0</v>
          </cell>
          <cell r="C73">
            <v>0</v>
          </cell>
          <cell r="D73">
            <v>13</v>
          </cell>
          <cell r="E73">
            <v>19.5</v>
          </cell>
          <cell r="F73">
            <v>0</v>
          </cell>
        </row>
        <row r="74">
          <cell r="A74" t="str">
            <v>广州中医药大学顺德医院</v>
          </cell>
          <cell r="B74">
            <v>0</v>
          </cell>
          <cell r="C74">
            <v>0</v>
          </cell>
          <cell r="D74">
            <v>8</v>
          </cell>
          <cell r="E74">
            <v>12</v>
          </cell>
          <cell r="F74">
            <v>0</v>
          </cell>
        </row>
        <row r="75">
          <cell r="A75" t="str">
            <v>佛山市中医院</v>
          </cell>
          <cell r="B75">
            <v>56</v>
          </cell>
          <cell r="C75">
            <v>50</v>
          </cell>
          <cell r="D75">
            <v>57</v>
          </cell>
          <cell r="E75">
            <v>244.5</v>
          </cell>
          <cell r="F75">
            <v>228</v>
          </cell>
        </row>
        <row r="76">
          <cell r="A76" t="str">
            <v>韶关市</v>
          </cell>
          <cell r="B76">
            <v>0</v>
          </cell>
          <cell r="C76">
            <v>0</v>
          </cell>
          <cell r="D76">
            <v>0</v>
          </cell>
          <cell r="E76">
            <v>0</v>
          </cell>
        </row>
        <row r="77">
          <cell r="A77" t="str">
            <v>粤北人民医院</v>
          </cell>
        </row>
        <row r="78">
          <cell r="A78" t="str">
            <v>韶关市第一人民医院</v>
          </cell>
        </row>
        <row r="79">
          <cell r="A79" t="str">
            <v>梅州市</v>
          </cell>
          <cell r="B79">
            <v>0</v>
          </cell>
          <cell r="C79">
            <v>0</v>
          </cell>
          <cell r="D79">
            <v>0</v>
          </cell>
          <cell r="E79">
            <v>0</v>
          </cell>
        </row>
        <row r="80">
          <cell r="A80" t="str">
            <v>梅州市人民医院</v>
          </cell>
        </row>
        <row r="81">
          <cell r="A81" t="str">
            <v>惠州市</v>
          </cell>
          <cell r="B81">
            <v>0</v>
          </cell>
          <cell r="C81">
            <v>0</v>
          </cell>
          <cell r="D81">
            <v>3</v>
          </cell>
          <cell r="E81">
            <v>4.5</v>
          </cell>
        </row>
        <row r="82">
          <cell r="A82" t="str">
            <v>惠州市中心人民医院</v>
          </cell>
        </row>
        <row r="83">
          <cell r="A83" t="str">
            <v>广州中医药大学惠州医院</v>
          </cell>
          <cell r="B83">
            <v>0</v>
          </cell>
          <cell r="C83">
            <v>0</v>
          </cell>
          <cell r="D83">
            <v>3</v>
          </cell>
          <cell r="E83">
            <v>4.5</v>
          </cell>
          <cell r="F83">
            <v>0</v>
          </cell>
        </row>
        <row r="84">
          <cell r="A84" t="str">
            <v>东莞市</v>
          </cell>
          <cell r="B84">
            <v>62</v>
          </cell>
          <cell r="C84">
            <v>43</v>
          </cell>
          <cell r="D84">
            <v>49</v>
          </cell>
          <cell r="E84">
            <v>231</v>
          </cell>
        </row>
        <row r="85">
          <cell r="A85" t="str">
            <v>东莞市人民医院</v>
          </cell>
        </row>
        <row r="86">
          <cell r="A86" t="str">
            <v>东莞东华医院</v>
          </cell>
        </row>
        <row r="87">
          <cell r="A87" t="str">
            <v>东莞市中医院</v>
          </cell>
          <cell r="B87">
            <v>62</v>
          </cell>
          <cell r="C87">
            <v>43</v>
          </cell>
          <cell r="D87">
            <v>49</v>
          </cell>
          <cell r="E87">
            <v>231</v>
          </cell>
          <cell r="F87">
            <v>261</v>
          </cell>
        </row>
        <row r="88">
          <cell r="A88" t="str">
            <v>中山市</v>
          </cell>
          <cell r="B88">
            <v>64</v>
          </cell>
          <cell r="C88">
            <v>31</v>
          </cell>
          <cell r="D88">
            <v>44</v>
          </cell>
          <cell r="E88">
            <v>208.5</v>
          </cell>
        </row>
        <row r="89">
          <cell r="A89" t="str">
            <v>中山市人民医院</v>
          </cell>
        </row>
        <row r="90">
          <cell r="A90" t="str">
            <v>中山市中医院</v>
          </cell>
          <cell r="B90">
            <v>64</v>
          </cell>
          <cell r="C90">
            <v>31</v>
          </cell>
          <cell r="D90">
            <v>44</v>
          </cell>
          <cell r="E90">
            <v>208.5</v>
          </cell>
          <cell r="F90">
            <v>267</v>
          </cell>
        </row>
        <row r="91">
          <cell r="A91" t="str">
            <v>江门市</v>
          </cell>
          <cell r="B91">
            <v>17</v>
          </cell>
          <cell r="C91">
            <v>15</v>
          </cell>
          <cell r="D91">
            <v>12</v>
          </cell>
          <cell r="E91">
            <v>66</v>
          </cell>
        </row>
        <row r="92">
          <cell r="A92" t="str">
            <v>江门市中心医院</v>
          </cell>
        </row>
        <row r="93">
          <cell r="A93" t="str">
            <v>江门市五邑中医院</v>
          </cell>
          <cell r="B93">
            <v>17</v>
          </cell>
          <cell r="C93">
            <v>15</v>
          </cell>
          <cell r="D93">
            <v>12</v>
          </cell>
          <cell r="E93">
            <v>66</v>
          </cell>
          <cell r="F93">
            <v>73.5</v>
          </cell>
        </row>
        <row r="94">
          <cell r="A94" t="str">
            <v>阳江市</v>
          </cell>
          <cell r="B94">
            <v>0</v>
          </cell>
          <cell r="C94">
            <v>0</v>
          </cell>
          <cell r="D94">
            <v>0</v>
          </cell>
          <cell r="E94">
            <v>0</v>
          </cell>
        </row>
        <row r="95">
          <cell r="A95" t="str">
            <v>阳江市人民医院</v>
          </cell>
        </row>
        <row r="96">
          <cell r="A96" t="str">
            <v>阳江市中医医院</v>
          </cell>
          <cell r="B96">
            <v>0</v>
          </cell>
          <cell r="C96">
            <v>0</v>
          </cell>
          <cell r="D96">
            <v>3</v>
          </cell>
          <cell r="E96">
            <v>4.5</v>
          </cell>
          <cell r="F96">
            <v>0</v>
          </cell>
        </row>
        <row r="97">
          <cell r="A97" t="str">
            <v>湛江市</v>
          </cell>
          <cell r="B97">
            <v>0</v>
          </cell>
          <cell r="C97">
            <v>0</v>
          </cell>
          <cell r="D97">
            <v>0</v>
          </cell>
          <cell r="E97">
            <v>0</v>
          </cell>
        </row>
        <row r="98">
          <cell r="A98" t="str">
            <v>湛江中心人民医院</v>
          </cell>
        </row>
        <row r="99">
          <cell r="A99" t="str">
            <v>茂名市</v>
          </cell>
          <cell r="B99">
            <v>0</v>
          </cell>
          <cell r="C99">
            <v>0</v>
          </cell>
          <cell r="D99">
            <v>0</v>
          </cell>
          <cell r="E99">
            <v>0</v>
          </cell>
        </row>
        <row r="100">
          <cell r="A100" t="str">
            <v>茂名市人民医院</v>
          </cell>
        </row>
        <row r="101">
          <cell r="A101" t="str">
            <v>肇庆市</v>
          </cell>
          <cell r="B101">
            <v>0</v>
          </cell>
          <cell r="C101">
            <v>0</v>
          </cell>
          <cell r="D101">
            <v>0</v>
          </cell>
          <cell r="E101">
            <v>0</v>
          </cell>
        </row>
        <row r="102">
          <cell r="A102" t="str">
            <v>肇庆市第一人民医院</v>
          </cell>
        </row>
        <row r="103">
          <cell r="A103" t="str">
            <v>清远市</v>
          </cell>
          <cell r="B103">
            <v>0</v>
          </cell>
          <cell r="C103">
            <v>0</v>
          </cell>
          <cell r="D103">
            <v>0</v>
          </cell>
          <cell r="E103">
            <v>0</v>
          </cell>
        </row>
        <row r="104">
          <cell r="A104" t="str">
            <v>清远市人民医院</v>
          </cell>
        </row>
        <row r="105">
          <cell r="A105" t="str">
            <v>清远市中医院</v>
          </cell>
          <cell r="B105">
            <v>0</v>
          </cell>
          <cell r="C105">
            <v>0</v>
          </cell>
          <cell r="D105">
            <v>7</v>
          </cell>
          <cell r="E105">
            <v>10.5</v>
          </cell>
          <cell r="F105">
            <v>0</v>
          </cell>
        </row>
        <row r="106">
          <cell r="A106" t="str">
            <v>揭阳市</v>
          </cell>
          <cell r="B106">
            <v>0</v>
          </cell>
          <cell r="C106">
            <v>0</v>
          </cell>
          <cell r="D106">
            <v>0</v>
          </cell>
          <cell r="E106">
            <v>0</v>
          </cell>
        </row>
        <row r="107">
          <cell r="A107" t="str">
            <v>揭阳市人民医院</v>
          </cell>
        </row>
        <row r="108">
          <cell r="A108" t="str">
            <v>河源市</v>
          </cell>
          <cell r="B108">
            <v>0</v>
          </cell>
          <cell r="C108">
            <v>0</v>
          </cell>
          <cell r="D108">
            <v>0</v>
          </cell>
          <cell r="E108">
            <v>0</v>
          </cell>
          <cell r="F108">
            <v>0</v>
          </cell>
        </row>
        <row r="109">
          <cell r="A109" t="str">
            <v>河源市人民医院</v>
          </cell>
        </row>
        <row r="110">
          <cell r="A110" t="str">
            <v>汕尾市</v>
          </cell>
          <cell r="B110">
            <v>0</v>
          </cell>
          <cell r="C110">
            <v>0</v>
          </cell>
          <cell r="D110">
            <v>0</v>
          </cell>
          <cell r="E110">
            <v>0</v>
          </cell>
          <cell r="F110">
            <v>0</v>
          </cell>
        </row>
        <row r="111">
          <cell r="A111" t="str">
            <v>汕尾市第二人民医院</v>
          </cell>
        </row>
        <row r="112">
          <cell r="A112" t="str">
            <v>潮州市</v>
          </cell>
          <cell r="B112">
            <v>0</v>
          </cell>
          <cell r="C112">
            <v>0</v>
          </cell>
          <cell r="D112">
            <v>0</v>
          </cell>
          <cell r="E112">
            <v>0</v>
          </cell>
          <cell r="F112">
            <v>0</v>
          </cell>
        </row>
        <row r="113">
          <cell r="A113" t="str">
            <v>潮州市中心医院</v>
          </cell>
        </row>
        <row r="114">
          <cell r="A114" t="str">
            <v>云浮市</v>
          </cell>
          <cell r="B114">
            <v>0</v>
          </cell>
          <cell r="C114">
            <v>0</v>
          </cell>
          <cell r="D114">
            <v>0</v>
          </cell>
          <cell r="E114">
            <v>0</v>
          </cell>
          <cell r="F114">
            <v>0</v>
          </cell>
        </row>
        <row r="115">
          <cell r="A115" t="str">
            <v>云浮市人民医院</v>
          </cell>
        </row>
        <row r="116">
          <cell r="A116" t="str">
            <v>备注：
1.补助标准：社会人住院医师规范化培训每人每年1.5万元。住培培训年限一般为三年，第一年入培时间为9月初，因此第一年按经费的三分之一予以测算分配，即每人每年0.5万元，第二第三年培训按每人每年1.5万元测算分配。
            带教师资培训补助金额按照每名师资培训7天(56学时)，每天550元/人/天标准补助。
2.省级住培管理经费150万元（用于规范化培训基地日常管理和督导、结业考核指导、省级住培信息平台维护、绩效评估及师资培训管理等业务管理）和住培结业技能考核考务经费200万元（用于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0年住院医师规范化培训（社会人学员）资金测算表 "/>
      <sheetName val="2018-2019年住院医师规范化培训（社会人学员）资金结算表"/>
    </sheetNames>
    <sheetDataSet>
      <sheetData sheetId="0">
        <row r="2">
          <cell r="M2" t="str">
            <v>金额：万元</v>
          </cell>
        </row>
        <row r="3">
          <cell r="A3" t="str">
            <v>项目单位或地区</v>
          </cell>
          <cell r="B3" t="str">
            <v>住院医师规范化培训</v>
          </cell>
          <cell r="F3" t="str">
            <v>骨干师资培训</v>
          </cell>
          <cell r="H3" t="str">
            <v>住院医师规范化培训结业考核</v>
          </cell>
          <cell r="J3" t="str">
            <v>省级住培管理经费</v>
          </cell>
          <cell r="K3" t="str">
            <v>2020年应补助金额</v>
          </cell>
          <cell r="L3" t="str">
            <v>2018-2019年待结算金额</v>
          </cell>
          <cell r="M3" t="str">
            <v>2020年实际补助金额</v>
          </cell>
        </row>
        <row r="4">
          <cell r="B4" t="str">
            <v>2018级在培人数（人）</v>
          </cell>
          <cell r="C4" t="str">
            <v>2019年在培人数（人）</v>
          </cell>
          <cell r="D4" t="str">
            <v>2020年
计划招收（人）</v>
          </cell>
          <cell r="E4" t="str">
            <v>补助金额</v>
          </cell>
          <cell r="F4" t="str">
            <v>2020年计划培训人数（人）</v>
          </cell>
          <cell r="G4" t="str">
            <v>补助金额</v>
          </cell>
          <cell r="H4" t="str">
            <v>结业理论考核经费</v>
          </cell>
          <cell r="I4" t="str">
            <v>结业技能考核经费</v>
          </cell>
        </row>
        <row r="5">
          <cell r="A5" t="str">
            <v>栏次</v>
          </cell>
          <cell r="B5" t="str">
            <v>1栏</v>
          </cell>
          <cell r="C5" t="str">
            <v>2栏</v>
          </cell>
          <cell r="D5" t="str">
            <v>3栏</v>
          </cell>
          <cell r="E5" t="str">
            <v>4栏=（1栏+2栏+3栏）*1.5</v>
          </cell>
          <cell r="F5" t="str">
            <v>5栏</v>
          </cell>
          <cell r="G5" t="str">
            <v>6栏=5栏*0.385</v>
          </cell>
          <cell r="H5" t="str">
            <v>7栏</v>
          </cell>
          <cell r="I5" t="str">
            <v>8栏</v>
          </cell>
          <cell r="J5" t="str">
            <v>9栏</v>
          </cell>
          <cell r="K5" t="str">
            <v>10栏=4栏+6栏+7栏+8栏+9栏</v>
          </cell>
          <cell r="L5" t="str">
            <v>11栏</v>
          </cell>
          <cell r="M5" t="str">
            <v>12栏=10栏+11栏</v>
          </cell>
        </row>
        <row r="6">
          <cell r="A6" t="str">
            <v>合计</v>
          </cell>
          <cell r="B6">
            <v>3462</v>
          </cell>
          <cell r="C6">
            <v>4100</v>
          </cell>
          <cell r="D6">
            <v>2118</v>
          </cell>
          <cell r="E6">
            <v>14520</v>
          </cell>
          <cell r="F6">
            <v>1000</v>
          </cell>
          <cell r="G6">
            <v>385</v>
          </cell>
          <cell r="H6">
            <v>90</v>
          </cell>
          <cell r="I6">
            <v>200</v>
          </cell>
          <cell r="J6">
            <v>150</v>
          </cell>
          <cell r="K6">
            <v>15345</v>
          </cell>
          <cell r="L6">
            <v>91.5</v>
          </cell>
          <cell r="M6">
            <v>15436.5</v>
          </cell>
        </row>
        <row r="7">
          <cell r="A7" t="str">
            <v>省本级小计</v>
          </cell>
          <cell r="B7">
            <v>1260</v>
          </cell>
          <cell r="C7">
            <v>1473</v>
          </cell>
          <cell r="D7">
            <v>855</v>
          </cell>
          <cell r="E7">
            <v>5382</v>
          </cell>
          <cell r="F7">
            <v>700</v>
          </cell>
          <cell r="G7">
            <v>269.5</v>
          </cell>
          <cell r="H7">
            <v>90</v>
          </cell>
          <cell r="I7">
            <v>200</v>
          </cell>
          <cell r="J7">
            <v>150</v>
          </cell>
          <cell r="K7">
            <v>6091.5</v>
          </cell>
          <cell r="L7">
            <v>-1327.5</v>
          </cell>
          <cell r="M7">
            <v>4749</v>
          </cell>
        </row>
        <row r="8">
          <cell r="A8" t="str">
            <v>省卫生健康委</v>
          </cell>
          <cell r="B8">
            <v>943</v>
          </cell>
          <cell r="C8">
            <v>1134</v>
          </cell>
          <cell r="D8">
            <v>600</v>
          </cell>
          <cell r="E8">
            <v>4015.5</v>
          </cell>
          <cell r="F8">
            <v>700</v>
          </cell>
          <cell r="G8">
            <v>269.5</v>
          </cell>
          <cell r="H8">
            <v>0</v>
          </cell>
          <cell r="I8">
            <v>0</v>
          </cell>
          <cell r="J8">
            <v>150</v>
          </cell>
          <cell r="K8">
            <v>4435</v>
          </cell>
          <cell r="L8">
            <v>-1017</v>
          </cell>
          <cell r="M8">
            <v>3403</v>
          </cell>
        </row>
        <row r="9">
          <cell r="A9" t="str">
            <v>广东省卫生健康委本部</v>
          </cell>
          <cell r="J9">
            <v>150</v>
          </cell>
          <cell r="K9">
            <v>150</v>
          </cell>
          <cell r="L9">
            <v>0</v>
          </cell>
          <cell r="M9">
            <v>150</v>
          </cell>
        </row>
        <row r="10">
          <cell r="A10" t="str">
            <v>广东省人民医院</v>
          </cell>
          <cell r="B10">
            <v>58</v>
          </cell>
          <cell r="C10">
            <v>58</v>
          </cell>
          <cell r="D10">
            <v>40</v>
          </cell>
          <cell r="E10">
            <v>234</v>
          </cell>
          <cell r="F10">
            <v>80</v>
          </cell>
          <cell r="G10">
            <v>30.8</v>
          </cell>
          <cell r="K10">
            <v>264.8</v>
          </cell>
          <cell r="L10">
            <v>-204</v>
          </cell>
          <cell r="M10">
            <v>60.8</v>
          </cell>
        </row>
        <row r="11">
          <cell r="A11" t="str">
            <v>广东省妇幼保健院</v>
          </cell>
          <cell r="B11">
            <v>58</v>
          </cell>
          <cell r="C11">
            <v>65</v>
          </cell>
          <cell r="D11">
            <v>40</v>
          </cell>
          <cell r="E11">
            <v>244.5</v>
          </cell>
          <cell r="G11">
            <v>0</v>
          </cell>
          <cell r="K11">
            <v>244.5</v>
          </cell>
          <cell r="L11">
            <v>31.5</v>
          </cell>
          <cell r="M11">
            <v>261</v>
          </cell>
        </row>
        <row r="12">
          <cell r="A12" t="str">
            <v>南方医科大学口腔医院</v>
          </cell>
          <cell r="B12">
            <v>15</v>
          </cell>
          <cell r="C12">
            <v>19</v>
          </cell>
          <cell r="D12">
            <v>20</v>
          </cell>
          <cell r="E12">
            <v>81</v>
          </cell>
          <cell r="G12">
            <v>0</v>
          </cell>
          <cell r="K12">
            <v>81</v>
          </cell>
          <cell r="L12">
            <v>-153</v>
          </cell>
          <cell r="M12">
            <v>0</v>
          </cell>
        </row>
        <row r="13">
          <cell r="A13" t="str">
            <v>广东医科大学附属医院</v>
          </cell>
          <cell r="B13">
            <v>39</v>
          </cell>
          <cell r="C13">
            <v>50</v>
          </cell>
          <cell r="D13">
            <v>20</v>
          </cell>
          <cell r="E13">
            <v>163.5</v>
          </cell>
          <cell r="F13">
            <v>80</v>
          </cell>
          <cell r="G13">
            <v>30.8</v>
          </cell>
          <cell r="K13">
            <v>194.3</v>
          </cell>
          <cell r="L13">
            <v>57</v>
          </cell>
          <cell r="M13">
            <v>251.3</v>
          </cell>
        </row>
        <row r="14">
          <cell r="A14" t="str">
            <v>汕头大学医学院第一附属医院</v>
          </cell>
          <cell r="B14">
            <v>38</v>
          </cell>
          <cell r="C14">
            <v>47</v>
          </cell>
          <cell r="D14">
            <v>30</v>
          </cell>
          <cell r="E14">
            <v>172.5</v>
          </cell>
          <cell r="F14">
            <v>80</v>
          </cell>
          <cell r="G14">
            <v>30.8</v>
          </cell>
          <cell r="K14">
            <v>203.3</v>
          </cell>
          <cell r="L14">
            <v>-93</v>
          </cell>
          <cell r="M14">
            <v>110.3</v>
          </cell>
        </row>
        <row r="15">
          <cell r="A15" t="str">
            <v>广东省第二人民医院</v>
          </cell>
          <cell r="B15">
            <v>34</v>
          </cell>
          <cell r="C15">
            <v>76</v>
          </cell>
          <cell r="D15">
            <v>30</v>
          </cell>
          <cell r="E15">
            <v>210</v>
          </cell>
          <cell r="G15">
            <v>0</v>
          </cell>
          <cell r="K15">
            <v>210</v>
          </cell>
          <cell r="L15">
            <v>-202.5</v>
          </cell>
          <cell r="M15">
            <v>7.5</v>
          </cell>
        </row>
        <row r="16">
          <cell r="A16" t="str">
            <v>南方医科大学南方医院</v>
          </cell>
          <cell r="B16">
            <v>71</v>
          </cell>
          <cell r="C16">
            <v>83</v>
          </cell>
          <cell r="D16">
            <v>40</v>
          </cell>
          <cell r="E16">
            <v>291</v>
          </cell>
          <cell r="F16">
            <v>100</v>
          </cell>
          <cell r="G16">
            <v>38.5</v>
          </cell>
          <cell r="K16">
            <v>329.5</v>
          </cell>
          <cell r="L16">
            <v>-247.5</v>
          </cell>
          <cell r="M16">
            <v>82</v>
          </cell>
        </row>
        <row r="17">
          <cell r="A17" t="str">
            <v>南方医科大学珠江医院</v>
          </cell>
          <cell r="B17">
            <v>192</v>
          </cell>
          <cell r="C17">
            <v>202</v>
          </cell>
          <cell r="D17">
            <v>40</v>
          </cell>
          <cell r="E17">
            <v>651</v>
          </cell>
          <cell r="G17">
            <v>0</v>
          </cell>
          <cell r="K17">
            <v>651</v>
          </cell>
          <cell r="L17">
            <v>375</v>
          </cell>
          <cell r="M17">
            <v>954</v>
          </cell>
        </row>
        <row r="18">
          <cell r="A18" t="str">
            <v>南方医科大学附属第三医院</v>
          </cell>
          <cell r="B18">
            <v>23</v>
          </cell>
          <cell r="C18">
            <v>13</v>
          </cell>
          <cell r="D18">
            <v>20</v>
          </cell>
          <cell r="E18">
            <v>84</v>
          </cell>
          <cell r="G18">
            <v>0</v>
          </cell>
          <cell r="K18">
            <v>84</v>
          </cell>
          <cell r="L18">
            <v>-76.5</v>
          </cell>
          <cell r="M18">
            <v>7.5</v>
          </cell>
        </row>
        <row r="19">
          <cell r="A19" t="str">
            <v>广东药科大学附属第一医院</v>
          </cell>
          <cell r="B19">
            <v>50</v>
          </cell>
          <cell r="C19">
            <v>63</v>
          </cell>
          <cell r="D19">
            <v>40</v>
          </cell>
          <cell r="E19">
            <v>229.5</v>
          </cell>
          <cell r="F19">
            <v>80</v>
          </cell>
          <cell r="G19">
            <v>30.8</v>
          </cell>
          <cell r="K19">
            <v>260.3</v>
          </cell>
          <cell r="L19">
            <v>-169.5</v>
          </cell>
          <cell r="M19">
            <v>90.8</v>
          </cell>
        </row>
        <row r="20">
          <cell r="A20" t="str">
            <v>中山大学附属第一医院</v>
          </cell>
          <cell r="B20">
            <v>34</v>
          </cell>
          <cell r="C20">
            <v>29</v>
          </cell>
          <cell r="D20">
            <v>40</v>
          </cell>
          <cell r="E20">
            <v>154.5</v>
          </cell>
          <cell r="F20">
            <v>200</v>
          </cell>
          <cell r="G20">
            <v>77</v>
          </cell>
          <cell r="K20">
            <v>231.5</v>
          </cell>
          <cell r="L20">
            <v>-48</v>
          </cell>
          <cell r="M20">
            <v>183.5</v>
          </cell>
        </row>
        <row r="21">
          <cell r="A21" t="str">
            <v>中山大学孙逸仙纪念医院</v>
          </cell>
          <cell r="B21">
            <v>27</v>
          </cell>
          <cell r="C21">
            <v>51</v>
          </cell>
          <cell r="D21">
            <v>40</v>
          </cell>
          <cell r="E21">
            <v>177</v>
          </cell>
          <cell r="G21">
            <v>0</v>
          </cell>
          <cell r="K21">
            <v>177</v>
          </cell>
          <cell r="L21">
            <v>-274.5</v>
          </cell>
          <cell r="M21">
            <v>0</v>
          </cell>
        </row>
        <row r="22">
          <cell r="A22" t="str">
            <v>中山大学附属第三医院</v>
          </cell>
          <cell r="B22">
            <v>69</v>
          </cell>
          <cell r="C22">
            <v>61</v>
          </cell>
          <cell r="D22">
            <v>40</v>
          </cell>
          <cell r="E22">
            <v>255</v>
          </cell>
          <cell r="G22">
            <v>0</v>
          </cell>
          <cell r="K22">
            <v>255</v>
          </cell>
          <cell r="L22">
            <v>43.5</v>
          </cell>
          <cell r="M22">
            <v>141</v>
          </cell>
        </row>
        <row r="23">
          <cell r="A23" t="str">
            <v>中山大学附属肿瘤医院</v>
          </cell>
          <cell r="B23">
            <v>14</v>
          </cell>
          <cell r="C23">
            <v>6</v>
          </cell>
          <cell r="D23">
            <v>20</v>
          </cell>
          <cell r="E23">
            <v>60</v>
          </cell>
          <cell r="G23">
            <v>0</v>
          </cell>
          <cell r="K23">
            <v>60</v>
          </cell>
          <cell r="L23">
            <v>-120</v>
          </cell>
          <cell r="M23">
            <v>0</v>
          </cell>
        </row>
        <row r="24">
          <cell r="A24" t="str">
            <v>中山大学附属口腔医院</v>
          </cell>
          <cell r="B24">
            <v>21</v>
          </cell>
          <cell r="C24">
            <v>21</v>
          </cell>
          <cell r="D24">
            <v>20</v>
          </cell>
          <cell r="E24">
            <v>93</v>
          </cell>
          <cell r="G24">
            <v>0</v>
          </cell>
          <cell r="K24">
            <v>93</v>
          </cell>
          <cell r="L24">
            <v>-76.5</v>
          </cell>
          <cell r="M24">
            <v>16.5</v>
          </cell>
        </row>
        <row r="25">
          <cell r="A25" t="str">
            <v>中山大学中山眼科中心</v>
          </cell>
          <cell r="B25">
            <v>27</v>
          </cell>
          <cell r="C25">
            <v>33</v>
          </cell>
          <cell r="D25">
            <v>20</v>
          </cell>
          <cell r="E25">
            <v>120</v>
          </cell>
          <cell r="G25">
            <v>0</v>
          </cell>
          <cell r="K25">
            <v>120</v>
          </cell>
          <cell r="L25">
            <v>-36</v>
          </cell>
          <cell r="M25">
            <v>84</v>
          </cell>
        </row>
        <row r="26">
          <cell r="A26" t="str">
            <v>中山大学附属第六医院</v>
          </cell>
          <cell r="B26">
            <v>45</v>
          </cell>
          <cell r="C26">
            <v>90</v>
          </cell>
          <cell r="D26">
            <v>40</v>
          </cell>
          <cell r="E26">
            <v>262.5</v>
          </cell>
          <cell r="G26">
            <v>0</v>
          </cell>
          <cell r="K26">
            <v>262.5</v>
          </cell>
          <cell r="L26">
            <v>120</v>
          </cell>
          <cell r="M26">
            <v>382.5</v>
          </cell>
        </row>
        <row r="27">
          <cell r="A27" t="str">
            <v>暨南大学附属第一医院</v>
          </cell>
          <cell r="B27">
            <v>99</v>
          </cell>
          <cell r="C27">
            <v>75</v>
          </cell>
          <cell r="D27">
            <v>40</v>
          </cell>
          <cell r="E27">
            <v>321</v>
          </cell>
          <cell r="F27">
            <v>80</v>
          </cell>
          <cell r="G27">
            <v>30.8</v>
          </cell>
          <cell r="K27">
            <v>351.8</v>
          </cell>
          <cell r="L27">
            <v>-3</v>
          </cell>
          <cell r="M27">
            <v>348.8</v>
          </cell>
        </row>
        <row r="28">
          <cell r="A28" t="str">
            <v>中国人民解放军南部战区总医院</v>
          </cell>
          <cell r="B28">
            <v>29</v>
          </cell>
          <cell r="C28">
            <v>92</v>
          </cell>
          <cell r="D28">
            <v>20</v>
          </cell>
          <cell r="E28">
            <v>211.5</v>
          </cell>
          <cell r="G28">
            <v>0</v>
          </cell>
          <cell r="K28">
            <v>211.5</v>
          </cell>
          <cell r="L28">
            <v>60</v>
          </cell>
          <cell r="M28">
            <v>271.5</v>
          </cell>
        </row>
        <row r="29">
          <cell r="A29" t="str">
            <v>广东省中医药局</v>
          </cell>
          <cell r="B29">
            <v>317</v>
          </cell>
          <cell r="C29">
            <v>339</v>
          </cell>
          <cell r="D29">
            <v>255</v>
          </cell>
          <cell r="E29">
            <v>1366.5</v>
          </cell>
          <cell r="F29">
            <v>0</v>
          </cell>
          <cell r="G29">
            <v>0</v>
          </cell>
          <cell r="H29">
            <v>0</v>
          </cell>
          <cell r="I29">
            <v>0</v>
          </cell>
          <cell r="J29">
            <v>0</v>
          </cell>
          <cell r="K29">
            <v>1366.5</v>
          </cell>
          <cell r="L29">
            <v>-310.5</v>
          </cell>
          <cell r="M29">
            <v>1056</v>
          </cell>
        </row>
        <row r="30">
          <cell r="A30" t="str">
            <v>广东省第二中医院</v>
          </cell>
          <cell r="B30">
            <v>41</v>
          </cell>
          <cell r="C30">
            <v>39</v>
          </cell>
          <cell r="D30">
            <v>30</v>
          </cell>
          <cell r="E30">
            <v>165</v>
          </cell>
          <cell r="G30">
            <v>0</v>
          </cell>
          <cell r="K30">
            <v>165</v>
          </cell>
          <cell r="L30">
            <v>-180</v>
          </cell>
          <cell r="M30">
            <v>0</v>
          </cell>
        </row>
        <row r="31">
          <cell r="A31" t="str">
            <v>广州中医药大学第一附属医院</v>
          </cell>
          <cell r="B31">
            <v>86</v>
          </cell>
          <cell r="C31">
            <v>126</v>
          </cell>
          <cell r="D31">
            <v>85</v>
          </cell>
          <cell r="E31">
            <v>445.5</v>
          </cell>
          <cell r="G31">
            <v>0</v>
          </cell>
          <cell r="K31">
            <v>445.5</v>
          </cell>
          <cell r="L31">
            <v>-261</v>
          </cell>
          <cell r="M31">
            <v>184.5</v>
          </cell>
        </row>
        <row r="32">
          <cell r="A32" t="str">
            <v>广东省中医院</v>
          </cell>
          <cell r="B32">
            <v>162</v>
          </cell>
          <cell r="C32">
            <v>142</v>
          </cell>
          <cell r="D32">
            <v>120</v>
          </cell>
          <cell r="E32">
            <v>636</v>
          </cell>
          <cell r="G32">
            <v>0</v>
          </cell>
          <cell r="K32">
            <v>636</v>
          </cell>
          <cell r="L32">
            <v>130.5</v>
          </cell>
          <cell r="M32">
            <v>751.5</v>
          </cell>
        </row>
        <row r="33">
          <cell r="A33" t="str">
            <v>南方医科大学中西医结合医院</v>
          </cell>
          <cell r="B33">
            <v>28</v>
          </cell>
          <cell r="C33">
            <v>32</v>
          </cell>
          <cell r="D33">
            <v>20</v>
          </cell>
          <cell r="E33">
            <v>120</v>
          </cell>
          <cell r="G33">
            <v>0</v>
          </cell>
          <cell r="K33">
            <v>120</v>
          </cell>
          <cell r="L33">
            <v>0</v>
          </cell>
          <cell r="M33">
            <v>120</v>
          </cell>
        </row>
        <row r="34">
          <cell r="A34" t="str">
            <v>省教育厅</v>
          </cell>
          <cell r="B34">
            <v>0</v>
          </cell>
          <cell r="C34">
            <v>0</v>
          </cell>
          <cell r="D34">
            <v>0</v>
          </cell>
          <cell r="E34">
            <v>0</v>
          </cell>
          <cell r="F34">
            <v>0</v>
          </cell>
          <cell r="G34">
            <v>0</v>
          </cell>
          <cell r="H34">
            <v>90</v>
          </cell>
          <cell r="I34">
            <v>200</v>
          </cell>
          <cell r="J34">
            <v>0</v>
          </cell>
          <cell r="K34">
            <v>290</v>
          </cell>
          <cell r="L34">
            <v>0</v>
          </cell>
          <cell r="M34">
            <v>290</v>
          </cell>
        </row>
        <row r="35">
          <cell r="A35" t="str">
            <v>南方医科大学</v>
          </cell>
          <cell r="E35">
            <v>0</v>
          </cell>
          <cell r="G35">
            <v>0</v>
          </cell>
          <cell r="H35">
            <v>90</v>
          </cell>
          <cell r="I35">
            <v>200</v>
          </cell>
          <cell r="K35">
            <v>290</v>
          </cell>
          <cell r="L35">
            <v>0</v>
          </cell>
          <cell r="M35">
            <v>290</v>
          </cell>
        </row>
        <row r="36">
          <cell r="A36" t="str">
            <v>地级以上市小计</v>
          </cell>
          <cell r="B36">
            <v>2171</v>
          </cell>
          <cell r="C36">
            <v>2574</v>
          </cell>
          <cell r="D36">
            <v>1243</v>
          </cell>
          <cell r="E36">
            <v>8982</v>
          </cell>
          <cell r="F36">
            <v>300</v>
          </cell>
          <cell r="G36">
            <v>115.5</v>
          </cell>
          <cell r="H36">
            <v>0</v>
          </cell>
          <cell r="I36">
            <v>0</v>
          </cell>
          <cell r="J36">
            <v>0</v>
          </cell>
          <cell r="K36">
            <v>9097.5</v>
          </cell>
          <cell r="L36">
            <v>1492.5</v>
          </cell>
          <cell r="M36">
            <v>10605</v>
          </cell>
        </row>
        <row r="37">
          <cell r="A37" t="str">
            <v>广州市</v>
          </cell>
          <cell r="B37">
            <v>693</v>
          </cell>
          <cell r="C37">
            <v>799</v>
          </cell>
          <cell r="D37">
            <v>280</v>
          </cell>
          <cell r="E37">
            <v>2658</v>
          </cell>
          <cell r="F37">
            <v>100</v>
          </cell>
          <cell r="G37">
            <v>38.5</v>
          </cell>
          <cell r="H37">
            <v>0</v>
          </cell>
          <cell r="I37">
            <v>0</v>
          </cell>
          <cell r="J37">
            <v>0</v>
          </cell>
          <cell r="K37">
            <v>2696.5</v>
          </cell>
          <cell r="L37">
            <v>426</v>
          </cell>
          <cell r="M37">
            <v>3122.5</v>
          </cell>
        </row>
        <row r="38">
          <cell r="A38" t="str">
            <v>深圳市</v>
          </cell>
          <cell r="B38">
            <v>665</v>
          </cell>
          <cell r="C38">
            <v>713</v>
          </cell>
          <cell r="D38">
            <v>438</v>
          </cell>
          <cell r="E38">
            <v>2724</v>
          </cell>
          <cell r="F38">
            <v>200</v>
          </cell>
          <cell r="G38">
            <v>77</v>
          </cell>
          <cell r="H38">
            <v>0</v>
          </cell>
          <cell r="I38">
            <v>0</v>
          </cell>
          <cell r="J38">
            <v>0</v>
          </cell>
          <cell r="K38">
            <v>2801</v>
          </cell>
          <cell r="L38">
            <v>418.5</v>
          </cell>
          <cell r="M38">
            <v>3219.5</v>
          </cell>
        </row>
        <row r="39">
          <cell r="A39" t="str">
            <v>珠海市</v>
          </cell>
          <cell r="B39">
            <v>136</v>
          </cell>
          <cell r="C39">
            <v>170</v>
          </cell>
          <cell r="D39">
            <v>70</v>
          </cell>
          <cell r="E39">
            <v>564</v>
          </cell>
          <cell r="F39">
            <v>0</v>
          </cell>
          <cell r="G39">
            <v>0</v>
          </cell>
          <cell r="H39">
            <v>0</v>
          </cell>
          <cell r="I39">
            <v>0</v>
          </cell>
          <cell r="J39">
            <v>0</v>
          </cell>
          <cell r="K39">
            <v>564</v>
          </cell>
          <cell r="L39">
            <v>328.5</v>
          </cell>
          <cell r="M39">
            <v>892.5</v>
          </cell>
        </row>
        <row r="40">
          <cell r="A40" t="str">
            <v>汕头市</v>
          </cell>
          <cell r="B40">
            <v>21</v>
          </cell>
          <cell r="C40">
            <v>22</v>
          </cell>
          <cell r="D40">
            <v>20</v>
          </cell>
          <cell r="E40">
            <v>94.5</v>
          </cell>
          <cell r="F40">
            <v>0</v>
          </cell>
          <cell r="G40">
            <v>0</v>
          </cell>
          <cell r="H40">
            <v>0</v>
          </cell>
          <cell r="I40">
            <v>0</v>
          </cell>
          <cell r="J40">
            <v>0</v>
          </cell>
          <cell r="K40">
            <v>94.5</v>
          </cell>
          <cell r="L40">
            <v>16.5</v>
          </cell>
          <cell r="M40">
            <v>111</v>
          </cell>
        </row>
        <row r="41">
          <cell r="A41" t="str">
            <v>佛山市</v>
          </cell>
          <cell r="B41">
            <v>126</v>
          </cell>
          <cell r="C41">
            <v>164</v>
          </cell>
          <cell r="D41">
            <v>60</v>
          </cell>
          <cell r="E41">
            <v>525</v>
          </cell>
          <cell r="F41">
            <v>0</v>
          </cell>
          <cell r="G41">
            <v>0</v>
          </cell>
          <cell r="H41">
            <v>0</v>
          </cell>
          <cell r="I41">
            <v>0</v>
          </cell>
          <cell r="J41">
            <v>0</v>
          </cell>
          <cell r="K41">
            <v>525</v>
          </cell>
          <cell r="L41">
            <v>214.5</v>
          </cell>
          <cell r="M41">
            <v>739.5</v>
          </cell>
        </row>
        <row r="42">
          <cell r="A42" t="str">
            <v>韶关市</v>
          </cell>
          <cell r="B42">
            <v>33</v>
          </cell>
          <cell r="C42">
            <v>38</v>
          </cell>
          <cell r="D42">
            <v>20</v>
          </cell>
          <cell r="E42">
            <v>136.5</v>
          </cell>
          <cell r="F42">
            <v>0</v>
          </cell>
          <cell r="G42">
            <v>0</v>
          </cell>
          <cell r="H42">
            <v>0</v>
          </cell>
          <cell r="I42">
            <v>0</v>
          </cell>
          <cell r="J42">
            <v>0</v>
          </cell>
          <cell r="K42">
            <v>136.5</v>
          </cell>
          <cell r="L42">
            <v>13.5</v>
          </cell>
          <cell r="M42">
            <v>150</v>
          </cell>
        </row>
        <row r="43">
          <cell r="A43" t="str">
            <v>梅州市</v>
          </cell>
          <cell r="B43">
            <v>61</v>
          </cell>
          <cell r="C43">
            <v>40</v>
          </cell>
          <cell r="D43">
            <v>20</v>
          </cell>
          <cell r="E43">
            <v>181.5</v>
          </cell>
          <cell r="F43">
            <v>0</v>
          </cell>
          <cell r="G43">
            <v>0</v>
          </cell>
          <cell r="H43">
            <v>0</v>
          </cell>
          <cell r="I43">
            <v>0</v>
          </cell>
          <cell r="J43">
            <v>0</v>
          </cell>
          <cell r="K43">
            <v>181.5</v>
          </cell>
          <cell r="L43">
            <v>108</v>
          </cell>
          <cell r="M43">
            <v>289.5</v>
          </cell>
        </row>
        <row r="44">
          <cell r="A44" t="str">
            <v>惠州市</v>
          </cell>
          <cell r="B44">
            <v>23</v>
          </cell>
          <cell r="C44">
            <v>17</v>
          </cell>
          <cell r="D44">
            <v>15</v>
          </cell>
          <cell r="E44">
            <v>82.5</v>
          </cell>
          <cell r="F44">
            <v>0</v>
          </cell>
          <cell r="G44">
            <v>0</v>
          </cell>
          <cell r="H44">
            <v>0</v>
          </cell>
          <cell r="I44">
            <v>0</v>
          </cell>
          <cell r="J44">
            <v>0</v>
          </cell>
          <cell r="K44">
            <v>82.5</v>
          </cell>
          <cell r="L44">
            <v>-73.5</v>
          </cell>
          <cell r="M44">
            <v>9</v>
          </cell>
        </row>
        <row r="45">
          <cell r="A45" t="str">
            <v>东莞市</v>
          </cell>
          <cell r="B45">
            <v>86</v>
          </cell>
          <cell r="C45">
            <v>187</v>
          </cell>
          <cell r="D45">
            <v>70</v>
          </cell>
          <cell r="E45">
            <v>514.5</v>
          </cell>
          <cell r="F45">
            <v>0</v>
          </cell>
          <cell r="G45">
            <v>0</v>
          </cell>
          <cell r="H45">
            <v>0</v>
          </cell>
          <cell r="I45">
            <v>0</v>
          </cell>
          <cell r="J45">
            <v>0</v>
          </cell>
          <cell r="K45">
            <v>514.5</v>
          </cell>
          <cell r="L45">
            <v>36</v>
          </cell>
          <cell r="M45">
            <v>550.5</v>
          </cell>
        </row>
        <row r="46">
          <cell r="A46" t="str">
            <v>中山市</v>
          </cell>
          <cell r="B46">
            <v>97</v>
          </cell>
          <cell r="C46">
            <v>135</v>
          </cell>
          <cell r="D46">
            <v>80</v>
          </cell>
          <cell r="E46">
            <v>468</v>
          </cell>
          <cell r="F46">
            <v>0</v>
          </cell>
          <cell r="G46">
            <v>0</v>
          </cell>
          <cell r="H46">
            <v>0</v>
          </cell>
          <cell r="I46">
            <v>0</v>
          </cell>
          <cell r="J46">
            <v>0</v>
          </cell>
          <cell r="K46">
            <v>468</v>
          </cell>
          <cell r="L46">
            <v>-9</v>
          </cell>
          <cell r="M46">
            <v>459</v>
          </cell>
        </row>
        <row r="47">
          <cell r="A47" t="str">
            <v>江门市</v>
          </cell>
          <cell r="B47">
            <v>75</v>
          </cell>
          <cell r="C47">
            <v>54</v>
          </cell>
          <cell r="D47">
            <v>50</v>
          </cell>
          <cell r="E47">
            <v>268.5</v>
          </cell>
          <cell r="F47">
            <v>0</v>
          </cell>
          <cell r="G47">
            <v>0</v>
          </cell>
          <cell r="H47">
            <v>0</v>
          </cell>
          <cell r="I47">
            <v>0</v>
          </cell>
          <cell r="J47">
            <v>0</v>
          </cell>
          <cell r="K47">
            <v>268.5</v>
          </cell>
          <cell r="L47">
            <v>43.5</v>
          </cell>
          <cell r="M47">
            <v>312</v>
          </cell>
        </row>
        <row r="48">
          <cell r="A48" t="str">
            <v>阳江市</v>
          </cell>
          <cell r="B48">
            <v>32</v>
          </cell>
          <cell r="C48">
            <v>33</v>
          </cell>
          <cell r="D48">
            <v>20</v>
          </cell>
          <cell r="E48">
            <v>127.5</v>
          </cell>
          <cell r="F48">
            <v>0</v>
          </cell>
          <cell r="G48">
            <v>0</v>
          </cell>
          <cell r="H48">
            <v>0</v>
          </cell>
          <cell r="I48">
            <v>0</v>
          </cell>
          <cell r="J48">
            <v>0</v>
          </cell>
          <cell r="K48">
            <v>127.5</v>
          </cell>
          <cell r="L48">
            <v>-6</v>
          </cell>
          <cell r="M48">
            <v>121.5</v>
          </cell>
        </row>
        <row r="49">
          <cell r="A49" t="str">
            <v>湛江市</v>
          </cell>
          <cell r="B49">
            <v>14</v>
          </cell>
          <cell r="C49">
            <v>60</v>
          </cell>
          <cell r="D49">
            <v>20</v>
          </cell>
          <cell r="E49">
            <v>141</v>
          </cell>
          <cell r="F49">
            <v>0</v>
          </cell>
          <cell r="G49">
            <v>0</v>
          </cell>
          <cell r="H49">
            <v>0</v>
          </cell>
          <cell r="I49">
            <v>0</v>
          </cell>
          <cell r="J49">
            <v>0</v>
          </cell>
          <cell r="K49">
            <v>141</v>
          </cell>
          <cell r="L49">
            <v>-1.5</v>
          </cell>
          <cell r="M49">
            <v>139.5</v>
          </cell>
        </row>
        <row r="50">
          <cell r="A50" t="str">
            <v>茂名市</v>
          </cell>
          <cell r="B50">
            <v>14</v>
          </cell>
          <cell r="C50">
            <v>21</v>
          </cell>
          <cell r="D50">
            <v>20</v>
          </cell>
          <cell r="E50">
            <v>82.5</v>
          </cell>
          <cell r="F50">
            <v>0</v>
          </cell>
          <cell r="G50">
            <v>0</v>
          </cell>
          <cell r="H50">
            <v>0</v>
          </cell>
          <cell r="I50">
            <v>0</v>
          </cell>
          <cell r="J50">
            <v>0</v>
          </cell>
          <cell r="K50">
            <v>82.5</v>
          </cell>
          <cell r="L50">
            <v>-66</v>
          </cell>
          <cell r="M50">
            <v>16.5</v>
          </cell>
        </row>
        <row r="51">
          <cell r="A51" t="str">
            <v>肇庆市</v>
          </cell>
          <cell r="B51">
            <v>36</v>
          </cell>
          <cell r="C51">
            <v>35</v>
          </cell>
          <cell r="D51">
            <v>20</v>
          </cell>
          <cell r="E51">
            <v>136.5</v>
          </cell>
          <cell r="F51">
            <v>0</v>
          </cell>
          <cell r="G51">
            <v>0</v>
          </cell>
          <cell r="H51">
            <v>0</v>
          </cell>
          <cell r="I51">
            <v>0</v>
          </cell>
          <cell r="J51">
            <v>0</v>
          </cell>
          <cell r="K51">
            <v>136.5</v>
          </cell>
          <cell r="L51">
            <v>25.5</v>
          </cell>
          <cell r="M51">
            <v>162</v>
          </cell>
        </row>
        <row r="52">
          <cell r="A52" t="str">
            <v>清远市</v>
          </cell>
          <cell r="B52">
            <v>50</v>
          </cell>
          <cell r="C52">
            <v>67</v>
          </cell>
          <cell r="D52">
            <v>20</v>
          </cell>
          <cell r="E52">
            <v>205.5</v>
          </cell>
          <cell r="F52">
            <v>0</v>
          </cell>
          <cell r="G52">
            <v>0</v>
          </cell>
          <cell r="H52">
            <v>0</v>
          </cell>
          <cell r="I52">
            <v>0</v>
          </cell>
          <cell r="J52">
            <v>0</v>
          </cell>
          <cell r="K52">
            <v>205.5</v>
          </cell>
          <cell r="L52">
            <v>103.5</v>
          </cell>
          <cell r="M52">
            <v>309</v>
          </cell>
        </row>
        <row r="53">
          <cell r="A53" t="str">
            <v>揭阳市</v>
          </cell>
          <cell r="B53">
            <v>9</v>
          </cell>
          <cell r="C53">
            <v>19</v>
          </cell>
          <cell r="D53">
            <v>20</v>
          </cell>
          <cell r="E53">
            <v>72</v>
          </cell>
          <cell r="F53">
            <v>0</v>
          </cell>
          <cell r="G53">
            <v>0</v>
          </cell>
          <cell r="H53">
            <v>0</v>
          </cell>
          <cell r="I53">
            <v>0</v>
          </cell>
          <cell r="J53">
            <v>0</v>
          </cell>
          <cell r="K53">
            <v>72</v>
          </cell>
          <cell r="L53">
            <v>-85.5</v>
          </cell>
          <cell r="M53">
            <v>1.5</v>
          </cell>
        </row>
        <row r="54">
          <cell r="A54" t="str">
            <v>财政省直管县小计</v>
          </cell>
          <cell r="B54">
            <v>31</v>
          </cell>
          <cell r="C54">
            <v>53</v>
          </cell>
          <cell r="D54">
            <v>20</v>
          </cell>
          <cell r="E54">
            <v>156</v>
          </cell>
          <cell r="F54">
            <v>0</v>
          </cell>
          <cell r="G54">
            <v>0</v>
          </cell>
          <cell r="H54">
            <v>0</v>
          </cell>
          <cell r="I54">
            <v>0</v>
          </cell>
          <cell r="J54">
            <v>0</v>
          </cell>
          <cell r="K54">
            <v>156</v>
          </cell>
          <cell r="L54">
            <v>-73.5</v>
          </cell>
          <cell r="M54">
            <v>82.5</v>
          </cell>
        </row>
        <row r="55">
          <cell r="A55" t="str">
            <v>顺德区</v>
          </cell>
          <cell r="B55">
            <v>31</v>
          </cell>
          <cell r="C55">
            <v>53</v>
          </cell>
          <cell r="D55">
            <v>20</v>
          </cell>
          <cell r="E55">
            <v>156</v>
          </cell>
          <cell r="F55">
            <v>0</v>
          </cell>
          <cell r="G55">
            <v>0</v>
          </cell>
          <cell r="H55">
            <v>0</v>
          </cell>
          <cell r="I55">
            <v>0</v>
          </cell>
          <cell r="J55">
            <v>0</v>
          </cell>
          <cell r="K55">
            <v>156</v>
          </cell>
          <cell r="L55">
            <v>-73.5</v>
          </cell>
          <cell r="M55">
            <v>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102"/>
  <sheetViews>
    <sheetView tabSelected="1" zoomScaleSheetLayoutView="100" workbookViewId="0" topLeftCell="A1">
      <selection activeCell="H65" sqref="H65"/>
    </sheetView>
  </sheetViews>
  <sheetFormatPr defaultColWidth="9.00390625" defaultRowHeight="15"/>
  <cols>
    <col min="1" max="1" width="29.8515625" style="348" customWidth="1"/>
    <col min="2" max="2" width="14.421875" style="348" bestFit="1" customWidth="1"/>
    <col min="3" max="3" width="13.7109375" style="348" customWidth="1"/>
    <col min="4" max="4" width="14.140625" style="348" customWidth="1"/>
    <col min="5" max="5" width="13.421875" style="348" customWidth="1"/>
    <col min="6" max="6" width="17.57421875" style="348" customWidth="1"/>
    <col min="7" max="7" width="16.28125" style="348" customWidth="1"/>
    <col min="8" max="16384" width="9.00390625" style="348" customWidth="1"/>
  </cols>
  <sheetData>
    <row r="1" spans="1:5" ht="18.75" customHeight="1">
      <c r="A1" s="349" t="s">
        <v>0</v>
      </c>
      <c r="B1" s="350"/>
      <c r="C1" s="350"/>
      <c r="D1" s="350"/>
      <c r="E1" s="350"/>
    </row>
    <row r="2" spans="1:7" ht="36.75" customHeight="1">
      <c r="A2" s="351" t="s">
        <v>1</v>
      </c>
      <c r="B2" s="351"/>
      <c r="C2" s="351"/>
      <c r="D2" s="351"/>
      <c r="E2" s="351"/>
      <c r="F2" s="351"/>
      <c r="G2" s="351"/>
    </row>
    <row r="3" spans="1:7" ht="21.75" customHeight="1">
      <c r="A3" s="352" t="s">
        <v>2</v>
      </c>
      <c r="B3" s="352"/>
      <c r="C3" s="352"/>
      <c r="D3" s="352"/>
      <c r="E3" s="352"/>
      <c r="F3" s="352"/>
      <c r="G3" s="352"/>
    </row>
    <row r="4" spans="1:7" ht="33" customHeight="1">
      <c r="A4" s="353" t="s">
        <v>3</v>
      </c>
      <c r="B4" s="353" t="s">
        <v>4</v>
      </c>
      <c r="C4" s="353" t="s">
        <v>5</v>
      </c>
      <c r="D4" s="353" t="s">
        <v>6</v>
      </c>
      <c r="E4" s="353" t="s">
        <v>7</v>
      </c>
      <c r="F4" s="353" t="s">
        <v>8</v>
      </c>
      <c r="G4" s="353" t="s">
        <v>9</v>
      </c>
    </row>
    <row r="5" spans="1:7" ht="16.5" customHeight="1">
      <c r="A5" s="353" t="s">
        <v>4</v>
      </c>
      <c r="B5" s="354">
        <f aca="true" t="shared" si="0" ref="B5:G5">B38+B60</f>
        <v>27905.929999999993</v>
      </c>
      <c r="C5" s="354">
        <f t="shared" si="0"/>
        <v>11129</v>
      </c>
      <c r="D5" s="354">
        <f t="shared" si="0"/>
        <v>7393.02</v>
      </c>
      <c r="E5" s="354">
        <f t="shared" si="0"/>
        <v>3983.9099999999994</v>
      </c>
      <c r="F5" s="354">
        <f t="shared" si="0"/>
        <v>3400</v>
      </c>
      <c r="G5" s="354">
        <f t="shared" si="0"/>
        <v>2000</v>
      </c>
    </row>
    <row r="6" spans="1:7" ht="16.5" customHeight="1" hidden="1">
      <c r="A6" s="353" t="s">
        <v>10</v>
      </c>
      <c r="B6" s="354" t="e">
        <f>SUM(B7:B37)</f>
        <v>#N/A</v>
      </c>
      <c r="C6" s="354">
        <f>SUM(C7:C37)</f>
        <v>4456</v>
      </c>
      <c r="D6" s="354">
        <f>SUM(D7:D37)</f>
        <v>0</v>
      </c>
      <c r="E6" s="354" t="e">
        <f>SUM(E7:E37)</f>
        <v>#N/A</v>
      </c>
      <c r="F6" s="355"/>
      <c r="G6" s="355"/>
    </row>
    <row r="7" spans="1:7" ht="16.5" customHeight="1" hidden="1">
      <c r="A7" s="121" t="s">
        <v>11</v>
      </c>
      <c r="B7" s="356">
        <f>SUM(C7:G7)</f>
        <v>350</v>
      </c>
      <c r="C7" s="357">
        <v>350</v>
      </c>
      <c r="D7" s="354"/>
      <c r="E7" s="354"/>
      <c r="F7" s="355"/>
      <c r="G7" s="355"/>
    </row>
    <row r="8" spans="1:7" ht="16.5" customHeight="1" hidden="1">
      <c r="A8" s="121" t="s">
        <v>12</v>
      </c>
      <c r="B8" s="356">
        <f>SUM(C8:G8)</f>
        <v>52</v>
      </c>
      <c r="C8" s="357">
        <f>VLOOKUP(A8,'住培'!$A:$L,12,0)</f>
        <v>52</v>
      </c>
      <c r="D8" s="354"/>
      <c r="E8" s="355"/>
      <c r="F8" s="355"/>
      <c r="G8" s="355"/>
    </row>
    <row r="9" spans="1:7" ht="16.5" customHeight="1" hidden="1">
      <c r="A9" s="121" t="s">
        <v>13</v>
      </c>
      <c r="B9" s="356">
        <f aca="true" t="shared" si="1" ref="B9:B37">SUM(C9:G9)</f>
        <v>324.5</v>
      </c>
      <c r="C9" s="357">
        <f>VLOOKUP(A9,'住培'!$A:$L,12,0)</f>
        <v>324.5</v>
      </c>
      <c r="D9" s="354"/>
      <c r="E9" s="354"/>
      <c r="F9" s="355"/>
      <c r="G9" s="355"/>
    </row>
    <row r="10" spans="1:7" ht="16.5" customHeight="1" hidden="1">
      <c r="A10" s="121" t="s">
        <v>14</v>
      </c>
      <c r="B10" s="356">
        <f t="shared" si="1"/>
        <v>199</v>
      </c>
      <c r="C10" s="357">
        <f>VLOOKUP(A10,'住培'!$A:$L,12,0)</f>
        <v>199</v>
      </c>
      <c r="D10" s="354"/>
      <c r="E10" s="354"/>
      <c r="F10" s="355"/>
      <c r="G10" s="355"/>
    </row>
    <row r="11" spans="1:7" ht="16.5" customHeight="1" hidden="1">
      <c r="A11" s="121" t="s">
        <v>15</v>
      </c>
      <c r="B11" s="356">
        <f t="shared" si="1"/>
        <v>0</v>
      </c>
      <c r="C11" s="357">
        <f>VLOOKUP(A11,'住培'!$A:$L,12,0)</f>
        <v>0</v>
      </c>
      <c r="D11" s="354"/>
      <c r="E11" s="354"/>
      <c r="F11" s="355"/>
      <c r="G11" s="355"/>
    </row>
    <row r="12" spans="1:7" ht="16.5" customHeight="1" hidden="1">
      <c r="A12" s="121" t="s">
        <v>16</v>
      </c>
      <c r="B12" s="356">
        <f t="shared" si="1"/>
        <v>284</v>
      </c>
      <c r="C12" s="357">
        <f>VLOOKUP(A12,'住培'!$A:$L,12,0)</f>
        <v>284</v>
      </c>
      <c r="D12" s="354"/>
      <c r="E12" s="354"/>
      <c r="F12" s="355"/>
      <c r="G12" s="355"/>
    </row>
    <row r="13" spans="1:7" ht="16.5" customHeight="1" hidden="1">
      <c r="A13" s="121" t="s">
        <v>17</v>
      </c>
      <c r="B13" s="356">
        <f t="shared" si="1"/>
        <v>148.5</v>
      </c>
      <c r="C13" s="357">
        <f>VLOOKUP(A13,'住培'!$A:$L,12,0)</f>
        <v>148.5</v>
      </c>
      <c r="D13" s="354"/>
      <c r="E13" s="354"/>
      <c r="F13" s="355"/>
      <c r="G13" s="355"/>
    </row>
    <row r="14" spans="1:7" ht="16.5" customHeight="1" hidden="1">
      <c r="A14" s="121" t="s">
        <v>18</v>
      </c>
      <c r="B14" s="356">
        <f t="shared" si="1"/>
        <v>199</v>
      </c>
      <c r="C14" s="357">
        <f>VLOOKUP(A14,'住培'!$A:$L,12,0)</f>
        <v>199</v>
      </c>
      <c r="D14" s="354"/>
      <c r="E14" s="354"/>
      <c r="F14" s="355"/>
      <c r="G14" s="355"/>
    </row>
    <row r="15" spans="1:7" ht="16.5" customHeight="1" hidden="1">
      <c r="A15" s="121" t="s">
        <v>19</v>
      </c>
      <c r="B15" s="356">
        <f t="shared" si="1"/>
        <v>181</v>
      </c>
      <c r="C15" s="357">
        <f>VLOOKUP(A15,'住培'!$A:$L,12,0)</f>
        <v>181</v>
      </c>
      <c r="D15" s="354"/>
      <c r="E15" s="354"/>
      <c r="F15" s="355"/>
      <c r="G15" s="355"/>
    </row>
    <row r="16" spans="1:7" ht="16.5" customHeight="1" hidden="1">
      <c r="A16" s="121" t="s">
        <v>20</v>
      </c>
      <c r="B16" s="356">
        <f t="shared" si="1"/>
        <v>261</v>
      </c>
      <c r="C16" s="357">
        <f>VLOOKUP(A16,'住培'!$A:$L,12,0)</f>
        <v>261</v>
      </c>
      <c r="D16" s="354"/>
      <c r="E16" s="354"/>
      <c r="F16" s="355"/>
      <c r="G16" s="355"/>
    </row>
    <row r="17" spans="1:7" ht="16.5" customHeight="1" hidden="1">
      <c r="A17" s="121" t="s">
        <v>21</v>
      </c>
      <c r="B17" s="356">
        <f t="shared" si="1"/>
        <v>35</v>
      </c>
      <c r="C17" s="357">
        <f>VLOOKUP(A17,'住培'!$A:$L,12,0)</f>
        <v>35</v>
      </c>
      <c r="D17" s="354"/>
      <c r="E17" s="354"/>
      <c r="F17" s="355"/>
      <c r="G17" s="355"/>
    </row>
    <row r="18" spans="1:7" ht="16.5" customHeight="1" hidden="1">
      <c r="A18" s="121" t="s">
        <v>22</v>
      </c>
      <c r="B18" s="356">
        <f t="shared" si="1"/>
        <v>249.5</v>
      </c>
      <c r="C18" s="357">
        <f>VLOOKUP(A18,'住培'!$A:$L,12,0)</f>
        <v>249.5</v>
      </c>
      <c r="D18" s="354"/>
      <c r="E18" s="354"/>
      <c r="F18" s="355"/>
      <c r="G18" s="355"/>
    </row>
    <row r="19" spans="1:7" ht="16.5" customHeight="1" hidden="1">
      <c r="A19" s="121" t="s">
        <v>23</v>
      </c>
      <c r="B19" s="356">
        <f t="shared" si="1"/>
        <v>151</v>
      </c>
      <c r="C19" s="357">
        <f>VLOOKUP(A19,'住培'!$A:$L,12,0)</f>
        <v>151</v>
      </c>
      <c r="D19" s="354"/>
      <c r="E19" s="354"/>
      <c r="F19" s="355"/>
      <c r="G19" s="355"/>
    </row>
    <row r="20" spans="1:7" ht="16.5" customHeight="1" hidden="1">
      <c r="A20" s="121" t="s">
        <v>24</v>
      </c>
      <c r="B20" s="356">
        <f t="shared" si="1"/>
        <v>8</v>
      </c>
      <c r="C20" s="357">
        <f>VLOOKUP(A20,'住培'!$A:$L,12,0)</f>
        <v>8</v>
      </c>
      <c r="D20" s="354"/>
      <c r="E20" s="354"/>
      <c r="F20" s="355"/>
      <c r="G20" s="355"/>
    </row>
    <row r="21" spans="1:7" ht="16.5" customHeight="1" hidden="1">
      <c r="A21" s="121" t="s">
        <v>25</v>
      </c>
      <c r="B21" s="356">
        <f t="shared" si="1"/>
        <v>279</v>
      </c>
      <c r="C21" s="357">
        <f>VLOOKUP(A21,'住培'!$A:$L,12,0)</f>
        <v>279</v>
      </c>
      <c r="D21" s="354"/>
      <c r="E21" s="354"/>
      <c r="F21" s="355"/>
      <c r="G21" s="355"/>
    </row>
    <row r="22" spans="1:7" ht="16.5" customHeight="1" hidden="1">
      <c r="A22" s="358" t="s">
        <v>26</v>
      </c>
      <c r="B22" s="356">
        <f t="shared" si="1"/>
        <v>1</v>
      </c>
      <c r="C22" s="357">
        <f>VLOOKUP(A22,'住培'!$A:$L,12,0)</f>
        <v>1</v>
      </c>
      <c r="D22" s="354"/>
      <c r="E22" s="354"/>
      <c r="F22" s="355"/>
      <c r="G22" s="355"/>
    </row>
    <row r="23" spans="1:7" ht="16.5" customHeight="1" hidden="1">
      <c r="A23" s="121" t="s">
        <v>27</v>
      </c>
      <c r="B23" s="356">
        <f t="shared" si="1"/>
        <v>10</v>
      </c>
      <c r="C23" s="357">
        <f>VLOOKUP(A23,'住培'!$A:$L,12,0)</f>
        <v>10</v>
      </c>
      <c r="D23" s="354"/>
      <c r="E23" s="354"/>
      <c r="F23" s="355"/>
      <c r="G23" s="355"/>
    </row>
    <row r="24" spans="1:7" ht="16.5" customHeight="1" hidden="1">
      <c r="A24" s="121" t="s">
        <v>28</v>
      </c>
      <c r="B24" s="356">
        <f t="shared" si="1"/>
        <v>18.5</v>
      </c>
      <c r="C24" s="357">
        <f>VLOOKUP(A24,'住培'!$A:$L,12,0)</f>
        <v>18.5</v>
      </c>
      <c r="D24" s="354"/>
      <c r="E24" s="354"/>
      <c r="F24" s="355"/>
      <c r="G24" s="355"/>
    </row>
    <row r="25" spans="1:7" ht="16.5" customHeight="1" hidden="1">
      <c r="A25" s="121" t="s">
        <v>29</v>
      </c>
      <c r="B25" s="356">
        <f t="shared" si="1"/>
        <v>66.5</v>
      </c>
      <c r="C25" s="357">
        <f>VLOOKUP(A25,'住培'!$A:$L,12,0)</f>
        <v>66.5</v>
      </c>
      <c r="D25" s="354"/>
      <c r="E25" s="354"/>
      <c r="F25" s="355"/>
      <c r="G25" s="355"/>
    </row>
    <row r="26" spans="1:7" ht="16.5" customHeight="1" hidden="1">
      <c r="A26" s="121" t="s">
        <v>30</v>
      </c>
      <c r="B26" s="356">
        <f t="shared" si="1"/>
        <v>263.5</v>
      </c>
      <c r="C26" s="357">
        <f>VLOOKUP(A26,'住培'!$A:$L,12,0)</f>
        <v>263.5</v>
      </c>
      <c r="D26" s="354"/>
      <c r="E26" s="354"/>
      <c r="F26" s="355"/>
      <c r="G26" s="355"/>
    </row>
    <row r="27" spans="1:7" ht="16.5" customHeight="1" hidden="1">
      <c r="A27" s="121" t="s">
        <v>31</v>
      </c>
      <c r="B27" s="356">
        <f t="shared" si="1"/>
        <v>151</v>
      </c>
      <c r="C27" s="357">
        <f>VLOOKUP(A27,'住培'!$A:$L,12,0)</f>
        <v>151</v>
      </c>
      <c r="D27" s="354"/>
      <c r="E27" s="354"/>
      <c r="F27" s="355"/>
      <c r="G27" s="355"/>
    </row>
    <row r="28" spans="1:7" ht="16.5" customHeight="1" hidden="1">
      <c r="A28" s="121" t="s">
        <v>32</v>
      </c>
      <c r="B28" s="356">
        <f t="shared" si="1"/>
        <v>95.5</v>
      </c>
      <c r="C28" s="357">
        <f>VLOOKUP(A28,'住培'!$A:$L,12,0)</f>
        <v>95.5</v>
      </c>
      <c r="D28" s="354"/>
      <c r="E28" s="354"/>
      <c r="F28" s="355"/>
      <c r="G28" s="355"/>
    </row>
    <row r="29" spans="1:7" ht="16.5" customHeight="1" hidden="1">
      <c r="A29" s="121" t="s">
        <v>33</v>
      </c>
      <c r="B29" s="356">
        <f t="shared" si="1"/>
        <v>154.5</v>
      </c>
      <c r="C29" s="357">
        <f>VLOOKUP(A29,'住培'!$A:$L,12,0)</f>
        <v>154.5</v>
      </c>
      <c r="D29" s="354"/>
      <c r="E29" s="354"/>
      <c r="F29" s="355"/>
      <c r="G29" s="355"/>
    </row>
    <row r="30" spans="1:7" ht="16.5" customHeight="1" hidden="1">
      <c r="A30" s="121" t="s">
        <v>34</v>
      </c>
      <c r="B30" s="356">
        <f t="shared" si="1"/>
        <v>634</v>
      </c>
      <c r="C30" s="357">
        <f>VLOOKUP(A30,'住培'!$A:$L,12,0)</f>
        <v>634</v>
      </c>
      <c r="D30" s="354"/>
      <c r="E30" s="354"/>
      <c r="F30" s="355"/>
      <c r="G30" s="355"/>
    </row>
    <row r="31" spans="1:7" ht="16.5" customHeight="1" hidden="1">
      <c r="A31" s="121" t="s">
        <v>35</v>
      </c>
      <c r="B31" s="356">
        <f t="shared" si="1"/>
        <v>203</v>
      </c>
      <c r="C31" s="357">
        <f>VLOOKUP(A31,'住培'!$A:$L,12,0)</f>
        <v>203</v>
      </c>
      <c r="D31" s="354"/>
      <c r="E31" s="354"/>
      <c r="F31" s="355"/>
      <c r="G31" s="355"/>
    </row>
    <row r="32" spans="1:7" ht="16.5" customHeight="1" hidden="1">
      <c r="A32" s="358" t="s">
        <v>36</v>
      </c>
      <c r="B32" s="356">
        <f t="shared" si="1"/>
        <v>47</v>
      </c>
      <c r="C32" s="357">
        <f>VLOOKUP(A32,'住培'!$A:$L,12,0)</f>
        <v>47</v>
      </c>
      <c r="D32" s="354"/>
      <c r="E32" s="354"/>
      <c r="F32" s="355"/>
      <c r="G32" s="355"/>
    </row>
    <row r="33" spans="1:7" ht="16.5" customHeight="1" hidden="1">
      <c r="A33" s="121" t="s">
        <v>37</v>
      </c>
      <c r="B33" s="356">
        <f t="shared" si="1"/>
        <v>90</v>
      </c>
      <c r="C33" s="357">
        <f>VLOOKUP(A33,'住培'!$A:$L,12,0)</f>
        <v>90</v>
      </c>
      <c r="D33" s="354"/>
      <c r="E33" s="354"/>
      <c r="F33" s="355"/>
      <c r="G33" s="355"/>
    </row>
    <row r="34" spans="1:7" ht="16.5" customHeight="1" hidden="1">
      <c r="A34" s="121" t="s">
        <v>38</v>
      </c>
      <c r="B34" s="356" t="e">
        <f t="shared" si="1"/>
        <v>#N/A</v>
      </c>
      <c r="C34" s="357"/>
      <c r="D34" s="354"/>
      <c r="E34" s="356" t="e">
        <f>VLOOKUP(A34,'订单定向'!$A:$P,16,0)</f>
        <v>#N/A</v>
      </c>
      <c r="F34" s="355"/>
      <c r="G34" s="355"/>
    </row>
    <row r="35" spans="1:7" ht="16.5" customHeight="1" hidden="1">
      <c r="A35" s="121" t="s">
        <v>39</v>
      </c>
      <c r="B35" s="356" t="e">
        <f t="shared" si="1"/>
        <v>#REF!</v>
      </c>
      <c r="C35" s="357"/>
      <c r="D35" s="354"/>
      <c r="E35" s="356" t="e">
        <f>订单定向!#REF!+订单定向!#REF!</f>
        <v>#REF!</v>
      </c>
      <c r="F35" s="355"/>
      <c r="G35" s="355"/>
    </row>
    <row r="36" spans="1:7" ht="16.5" customHeight="1" hidden="1">
      <c r="A36" s="121" t="s">
        <v>40</v>
      </c>
      <c r="B36" s="356" t="e">
        <f t="shared" si="1"/>
        <v>#N/A</v>
      </c>
      <c r="C36" s="357"/>
      <c r="D36" s="354"/>
      <c r="E36" s="356" t="e">
        <f>VLOOKUP(A36,'订单定向'!$A:$P,16,0)</f>
        <v>#N/A</v>
      </c>
      <c r="F36" s="355"/>
      <c r="G36" s="355"/>
    </row>
    <row r="37" spans="1:7" ht="16.5" customHeight="1" hidden="1">
      <c r="A37" s="121" t="s">
        <v>41</v>
      </c>
      <c r="B37" s="356" t="e">
        <f t="shared" si="1"/>
        <v>#N/A</v>
      </c>
      <c r="C37" s="357"/>
      <c r="D37" s="354"/>
      <c r="E37" s="356" t="e">
        <f>VLOOKUP(A37,'订单定向'!$A:$P,16,0)</f>
        <v>#N/A</v>
      </c>
      <c r="F37" s="355"/>
      <c r="G37" s="355"/>
    </row>
    <row r="38" spans="1:7" ht="16.5" customHeight="1">
      <c r="A38" s="353" t="s">
        <v>42</v>
      </c>
      <c r="B38" s="354">
        <f aca="true" t="shared" si="2" ref="B38:G38">SUM(B39:B59)</f>
        <v>24235.929999999993</v>
      </c>
      <c r="C38" s="354">
        <f t="shared" si="2"/>
        <v>11129</v>
      </c>
      <c r="D38" s="354">
        <f t="shared" si="2"/>
        <v>7393.02</v>
      </c>
      <c r="E38" s="354">
        <f t="shared" si="2"/>
        <v>3983.9099999999994</v>
      </c>
      <c r="F38" s="354">
        <f t="shared" si="2"/>
        <v>1210</v>
      </c>
      <c r="G38" s="354">
        <f t="shared" si="2"/>
        <v>520</v>
      </c>
    </row>
    <row r="39" spans="1:7" ht="16.5" customHeight="1">
      <c r="A39" s="121" t="s">
        <v>43</v>
      </c>
      <c r="B39" s="356">
        <f>C39+D39+E39+F39+G39</f>
        <v>1779</v>
      </c>
      <c r="C39" s="357">
        <f>VLOOKUP(A39,'住培'!$A:$L,12,0)</f>
        <v>1779</v>
      </c>
      <c r="D39" s="356"/>
      <c r="E39" s="356"/>
      <c r="F39" s="355"/>
      <c r="G39" s="355"/>
    </row>
    <row r="40" spans="1:7" ht="16.5" customHeight="1">
      <c r="A40" s="121" t="s">
        <v>44</v>
      </c>
      <c r="B40" s="356">
        <f>C40+D40+E40+F40+G40</f>
        <v>3218.5</v>
      </c>
      <c r="C40" s="357">
        <f>VLOOKUP(A40,'住培'!$A:$L,12,0)</f>
        <v>3218.5</v>
      </c>
      <c r="D40" s="356"/>
      <c r="E40" s="356"/>
      <c r="F40" s="355"/>
      <c r="G40" s="355"/>
    </row>
    <row r="41" spans="1:7" ht="16.5" customHeight="1">
      <c r="A41" s="121" t="s">
        <v>45</v>
      </c>
      <c r="B41" s="356">
        <f aca="true" t="shared" si="3" ref="B41:B59">C41+D41+E41+F41+G41</f>
        <v>1180.5</v>
      </c>
      <c r="C41" s="357">
        <f>VLOOKUP(A41,'住培'!$A:$L,12,0)</f>
        <v>1103.5</v>
      </c>
      <c r="D41" s="356">
        <f>VLOOKUP(A41,'全科医生培训'!$A:$M,13,0)</f>
        <v>77</v>
      </c>
      <c r="E41" s="356"/>
      <c r="F41" s="355"/>
      <c r="G41" s="355"/>
    </row>
    <row r="42" spans="1:7" ht="16.5" customHeight="1">
      <c r="A42" s="121" t="s">
        <v>46</v>
      </c>
      <c r="B42" s="356">
        <f t="shared" si="3"/>
        <v>700.62</v>
      </c>
      <c r="C42" s="357">
        <f>VLOOKUP(A42,'住培'!$A:$L,12,0)</f>
        <v>190</v>
      </c>
      <c r="D42" s="356">
        <f>VLOOKUP(A42,'全科医生培训'!$A:$M,13,0)</f>
        <v>510.62</v>
      </c>
      <c r="E42" s="356"/>
      <c r="F42" s="355"/>
      <c r="G42" s="355"/>
    </row>
    <row r="43" spans="1:7" ht="16.5" customHeight="1">
      <c r="A43" s="121" t="s">
        <v>47</v>
      </c>
      <c r="B43" s="356">
        <f t="shared" si="3"/>
        <v>1089.5</v>
      </c>
      <c r="C43" s="357">
        <f>VLOOKUP(A43,'住培'!$A:$L,12,0)</f>
        <v>1089.5</v>
      </c>
      <c r="D43" s="356"/>
      <c r="E43" s="356"/>
      <c r="F43" s="355"/>
      <c r="G43" s="355"/>
    </row>
    <row r="44" spans="1:7" ht="16.5" customHeight="1">
      <c r="A44" s="121" t="s">
        <v>48</v>
      </c>
      <c r="B44" s="356">
        <f t="shared" si="3"/>
        <v>1992.8400000000001</v>
      </c>
      <c r="C44" s="357">
        <f>VLOOKUP(A44,'住培'!$A:$L,12,0)</f>
        <v>138.5</v>
      </c>
      <c r="D44" s="356">
        <f>VLOOKUP(A44,'全科医生培训'!$A:$M,13,0)</f>
        <v>339.36</v>
      </c>
      <c r="E44" s="356">
        <f>'订单定向'!P9+'订单定向'!P10</f>
        <v>1354.98</v>
      </c>
      <c r="F44" s="355">
        <v>120</v>
      </c>
      <c r="G44" s="355">
        <v>40</v>
      </c>
    </row>
    <row r="45" spans="1:7" ht="16.5" customHeight="1">
      <c r="A45" s="121" t="s">
        <v>49</v>
      </c>
      <c r="B45" s="356">
        <f t="shared" si="3"/>
        <v>674.53</v>
      </c>
      <c r="C45" s="357">
        <f>VLOOKUP(A45,'住培'!$A:$L,12,0)</f>
        <v>119</v>
      </c>
      <c r="D45" s="356">
        <f>VLOOKUP(A45,'全科医生培训'!$A:$M,13,0)</f>
        <v>345.53</v>
      </c>
      <c r="E45" s="356"/>
      <c r="F45" s="355">
        <v>170</v>
      </c>
      <c r="G45" s="355">
        <v>40</v>
      </c>
    </row>
    <row r="46" spans="1:7" ht="16.5" customHeight="1">
      <c r="A46" s="121" t="s">
        <v>50</v>
      </c>
      <c r="B46" s="356">
        <f t="shared" si="3"/>
        <v>1708.42</v>
      </c>
      <c r="C46" s="357">
        <f>VLOOKUP(A46,'住培'!$A:$L,12,0)</f>
        <v>204</v>
      </c>
      <c r="D46" s="356">
        <f>VLOOKUP(A46,'全科医生培训'!$A:$M,13,0)</f>
        <v>511.87</v>
      </c>
      <c r="E46" s="356">
        <f>'订单定向'!P11+'订单定向'!P12</f>
        <v>772.55</v>
      </c>
      <c r="F46" s="355">
        <v>180</v>
      </c>
      <c r="G46" s="355">
        <v>40</v>
      </c>
    </row>
    <row r="47" spans="1:7" ht="16.5" customHeight="1">
      <c r="A47" s="121" t="s">
        <v>51</v>
      </c>
      <c r="B47" s="356">
        <f t="shared" si="3"/>
        <v>1434.9099999999999</v>
      </c>
      <c r="C47" s="357">
        <f>VLOOKUP(A47,'住培'!$A:$L,12,0)</f>
        <v>139.5</v>
      </c>
      <c r="D47" s="356">
        <f>VLOOKUP(A47,'全科医生培训'!$A:$M,13,0)</f>
        <v>699.31</v>
      </c>
      <c r="E47" s="356">
        <f>VLOOKUP(A47,'订单定向'!$A:$P,16,0)</f>
        <v>436.1</v>
      </c>
      <c r="F47" s="355">
        <v>120</v>
      </c>
      <c r="G47" s="355">
        <v>40</v>
      </c>
    </row>
    <row r="48" spans="1:7" ht="16.5" customHeight="1">
      <c r="A48" s="121" t="s">
        <v>52</v>
      </c>
      <c r="B48" s="356">
        <f t="shared" si="3"/>
        <v>372.26</v>
      </c>
      <c r="C48" s="357">
        <f>VLOOKUP(A48,'住培'!$A:$L,12,0)</f>
        <v>10</v>
      </c>
      <c r="D48" s="356">
        <f>VLOOKUP(A48,'全科医生培训'!$A:$M,13,0)</f>
        <v>362.26</v>
      </c>
      <c r="E48" s="356"/>
      <c r="F48" s="355"/>
      <c r="G48" s="355"/>
    </row>
    <row r="49" spans="1:7" ht="16.5" customHeight="1">
      <c r="A49" s="121" t="s">
        <v>53</v>
      </c>
      <c r="B49" s="356">
        <f t="shared" si="3"/>
        <v>884.5</v>
      </c>
      <c r="C49" s="357">
        <f>VLOOKUP(A49,'住培'!$A:$L,12,0)</f>
        <v>884.5</v>
      </c>
      <c r="D49" s="356"/>
      <c r="E49" s="356"/>
      <c r="F49" s="355"/>
      <c r="G49" s="355"/>
    </row>
    <row r="50" spans="1:7" ht="16.5" customHeight="1">
      <c r="A50" s="121" t="s">
        <v>54</v>
      </c>
      <c r="B50" s="356">
        <f t="shared" si="3"/>
        <v>636.5</v>
      </c>
      <c r="C50" s="357">
        <f>VLOOKUP(A50,'住培'!$A:$L,12,0)</f>
        <v>636.5</v>
      </c>
      <c r="D50" s="356"/>
      <c r="E50" s="356"/>
      <c r="F50" s="355"/>
      <c r="G50" s="355"/>
    </row>
    <row r="51" spans="1:7" ht="16.5" customHeight="1">
      <c r="A51" s="121" t="s">
        <v>55</v>
      </c>
      <c r="B51" s="356">
        <f t="shared" si="3"/>
        <v>1335.51</v>
      </c>
      <c r="C51" s="357">
        <f>VLOOKUP(A51,'住培'!$A:$L,12,0)</f>
        <v>275</v>
      </c>
      <c r="D51" s="356">
        <f>VLOOKUP(A51,'全科医生培训'!$A:$M,13,0)</f>
        <v>459.32</v>
      </c>
      <c r="E51" s="356">
        <f>'订单定向'!P15+'订单定向'!P16</f>
        <v>291.19</v>
      </c>
      <c r="F51" s="355">
        <v>190</v>
      </c>
      <c r="G51" s="355">
        <v>120</v>
      </c>
    </row>
    <row r="52" spans="1:7" ht="16.5" customHeight="1">
      <c r="A52" s="121" t="s">
        <v>56</v>
      </c>
      <c r="B52" s="356">
        <f t="shared" si="3"/>
        <v>616.37</v>
      </c>
      <c r="C52" s="357">
        <f>VLOOKUP(A52,'住培'!$A:$L,12,0)</f>
        <v>201.5</v>
      </c>
      <c r="D52" s="356">
        <f>VLOOKUP(A52,'全科医生培训'!$A:$M,13,0)</f>
        <v>314.87</v>
      </c>
      <c r="E52" s="356"/>
      <c r="F52" s="355">
        <v>60</v>
      </c>
      <c r="G52" s="355">
        <v>40</v>
      </c>
    </row>
    <row r="53" spans="1:7" ht="16.5" customHeight="1">
      <c r="A53" s="121" t="s">
        <v>57</v>
      </c>
      <c r="B53" s="356">
        <f t="shared" si="3"/>
        <v>1303.9299999999998</v>
      </c>
      <c r="C53" s="357">
        <f>VLOOKUP(A53,'住培'!$A:$L,12,0)</f>
        <v>283</v>
      </c>
      <c r="D53" s="356">
        <f>VLOOKUP(A53,'全科医生培训'!$A:$M,13,0)</f>
        <v>800.93</v>
      </c>
      <c r="E53" s="356"/>
      <c r="F53" s="355">
        <v>140</v>
      </c>
      <c r="G53" s="355">
        <v>80</v>
      </c>
    </row>
    <row r="54" spans="1:7" ht="16.5" customHeight="1">
      <c r="A54" s="121" t="s">
        <v>58</v>
      </c>
      <c r="B54" s="356">
        <f t="shared" si="3"/>
        <v>1371.35</v>
      </c>
      <c r="C54" s="357">
        <f>VLOOKUP(A54,'住培'!$A:$L,12,0)</f>
        <v>269</v>
      </c>
      <c r="D54" s="356">
        <f>VLOOKUP(A54,'全科医生培训'!$A:$M,13,0)</f>
        <v>739.92</v>
      </c>
      <c r="E54" s="356">
        <f>VLOOKUP(A54,'订单定向'!$A:$P,16,0)</f>
        <v>282.43</v>
      </c>
      <c r="F54" s="355">
        <v>40</v>
      </c>
      <c r="G54" s="355">
        <v>40</v>
      </c>
    </row>
    <row r="55" spans="1:7" ht="16.5" customHeight="1">
      <c r="A55" s="121" t="s">
        <v>59</v>
      </c>
      <c r="B55" s="356">
        <f t="shared" si="3"/>
        <v>1658.85</v>
      </c>
      <c r="C55" s="357">
        <f>VLOOKUP(A55,'住培'!$A:$L,12,0)</f>
        <v>209.5</v>
      </c>
      <c r="D55" s="356">
        <f>VLOOKUP(A55,'全科医生培训'!$A:$M,13,0)</f>
        <v>512.69</v>
      </c>
      <c r="E55" s="356">
        <f>'订单定向'!P13+'订单定向'!P14</f>
        <v>846.66</v>
      </c>
      <c r="F55" s="355">
        <v>50</v>
      </c>
      <c r="G55" s="355">
        <v>40</v>
      </c>
    </row>
    <row r="56" spans="1:7" ht="16.5" customHeight="1">
      <c r="A56" s="121" t="s">
        <v>60</v>
      </c>
      <c r="B56" s="356">
        <f t="shared" si="3"/>
        <v>886.9200000000001</v>
      </c>
      <c r="C56" s="357">
        <f>VLOOKUP(A56,'住培'!$A:$L,12,0)</f>
        <v>283.5</v>
      </c>
      <c r="D56" s="356">
        <f>VLOOKUP(A56,'全科医生培训'!$A:$M,13,0)</f>
        <v>493.42</v>
      </c>
      <c r="E56" s="356"/>
      <c r="F56" s="355">
        <v>110</v>
      </c>
      <c r="G56" s="355"/>
    </row>
    <row r="57" spans="1:7" ht="16.5" customHeight="1">
      <c r="A57" s="121" t="s">
        <v>61</v>
      </c>
      <c r="B57" s="356">
        <f t="shared" si="3"/>
        <v>327.87</v>
      </c>
      <c r="C57" s="357">
        <f>VLOOKUP(A57,'住培'!$A:$L,12,0)</f>
        <v>35</v>
      </c>
      <c r="D57" s="356">
        <f>VLOOKUP(A57,'全科医生培训'!$A:$M,13,0)</f>
        <v>292.87</v>
      </c>
      <c r="E57" s="356"/>
      <c r="F57" s="359"/>
      <c r="G57" s="355"/>
    </row>
    <row r="58" spans="1:7" ht="16.5" customHeight="1">
      <c r="A58" s="121" t="s">
        <v>62</v>
      </c>
      <c r="B58" s="356">
        <f t="shared" si="3"/>
        <v>687</v>
      </c>
      <c r="C58" s="357">
        <f>VLOOKUP(A58,'住培'!$A:$L,12,0)</f>
        <v>50</v>
      </c>
      <c r="D58" s="356">
        <f>VLOOKUP(A58,'全科医生培训'!$A:$M,13,0)</f>
        <v>637</v>
      </c>
      <c r="E58" s="356"/>
      <c r="F58" s="359"/>
      <c r="G58" s="355"/>
    </row>
    <row r="59" spans="1:7" ht="16.5" customHeight="1">
      <c r="A59" s="121" t="s">
        <v>63</v>
      </c>
      <c r="B59" s="356">
        <f t="shared" si="3"/>
        <v>376.05</v>
      </c>
      <c r="C59" s="357">
        <f>VLOOKUP(A59,'住培'!$A:$L,12,0)</f>
        <v>10</v>
      </c>
      <c r="D59" s="356">
        <f>VLOOKUP(A59,'全科医生培训'!$A:$M,13,0)</f>
        <v>296.05</v>
      </c>
      <c r="E59" s="356"/>
      <c r="F59" s="355">
        <v>30</v>
      </c>
      <c r="G59" s="355">
        <v>40</v>
      </c>
    </row>
    <row r="60" spans="1:7" ht="16.5" customHeight="1">
      <c r="A60" s="360" t="s">
        <v>64</v>
      </c>
      <c r="B60" s="354">
        <f aca="true" t="shared" si="4" ref="B60:G60">SUM(B61:B95)</f>
        <v>3670</v>
      </c>
      <c r="C60" s="354">
        <f t="shared" si="4"/>
        <v>0</v>
      </c>
      <c r="D60" s="354">
        <f t="shared" si="4"/>
        <v>0</v>
      </c>
      <c r="E60" s="354">
        <f t="shared" si="4"/>
        <v>0</v>
      </c>
      <c r="F60" s="354">
        <f t="shared" si="4"/>
        <v>2190</v>
      </c>
      <c r="G60" s="354">
        <f t="shared" si="4"/>
        <v>1480</v>
      </c>
    </row>
    <row r="61" spans="1:7" ht="16.5" customHeight="1">
      <c r="A61" s="361" t="s">
        <v>65</v>
      </c>
      <c r="B61" s="356">
        <f>SUM(C61:G61)</f>
        <v>60</v>
      </c>
      <c r="C61" s="357"/>
      <c r="D61" s="356"/>
      <c r="E61" s="356"/>
      <c r="F61" s="355">
        <v>60</v>
      </c>
      <c r="G61" s="355"/>
    </row>
    <row r="62" spans="1:7" ht="16.5" customHeight="1">
      <c r="A62" s="361" t="s">
        <v>66</v>
      </c>
      <c r="B62" s="356">
        <f aca="true" t="shared" si="5" ref="B62:B95">SUM(C62:G62)</f>
        <v>120</v>
      </c>
      <c r="C62" s="357"/>
      <c r="D62" s="356"/>
      <c r="E62" s="356"/>
      <c r="F62" s="355">
        <v>60</v>
      </c>
      <c r="G62" s="355">
        <v>60</v>
      </c>
    </row>
    <row r="63" spans="1:7" ht="16.5" customHeight="1">
      <c r="A63" s="361" t="s">
        <v>67</v>
      </c>
      <c r="B63" s="356">
        <f t="shared" si="5"/>
        <v>70</v>
      </c>
      <c r="C63" s="357"/>
      <c r="D63" s="356"/>
      <c r="E63" s="356"/>
      <c r="F63" s="355">
        <v>70</v>
      </c>
      <c r="G63" s="355"/>
    </row>
    <row r="64" spans="1:7" ht="16.5" customHeight="1">
      <c r="A64" s="361" t="s">
        <v>68</v>
      </c>
      <c r="B64" s="356">
        <f t="shared" si="5"/>
        <v>80</v>
      </c>
      <c r="C64" s="357"/>
      <c r="D64" s="356"/>
      <c r="E64" s="356"/>
      <c r="F64" s="355">
        <v>40</v>
      </c>
      <c r="G64" s="355">
        <v>40</v>
      </c>
    </row>
    <row r="65" spans="1:7" ht="16.5" customHeight="1">
      <c r="A65" s="361" t="s">
        <v>69</v>
      </c>
      <c r="B65" s="356">
        <f t="shared" si="5"/>
        <v>90</v>
      </c>
      <c r="C65" s="357"/>
      <c r="D65" s="356"/>
      <c r="E65" s="356"/>
      <c r="F65" s="355">
        <v>90</v>
      </c>
      <c r="G65" s="355"/>
    </row>
    <row r="66" spans="1:7" ht="16.5" customHeight="1">
      <c r="A66" s="361" t="s">
        <v>70</v>
      </c>
      <c r="B66" s="356">
        <f t="shared" si="5"/>
        <v>100</v>
      </c>
      <c r="C66" s="357"/>
      <c r="D66" s="356"/>
      <c r="E66" s="356"/>
      <c r="F66" s="355">
        <v>60</v>
      </c>
      <c r="G66" s="355">
        <v>40</v>
      </c>
    </row>
    <row r="67" spans="1:7" ht="16.5" customHeight="1">
      <c r="A67" s="361" t="s">
        <v>71</v>
      </c>
      <c r="B67" s="356">
        <f t="shared" si="5"/>
        <v>120</v>
      </c>
      <c r="C67" s="357"/>
      <c r="D67" s="356"/>
      <c r="E67" s="356"/>
      <c r="F67" s="355">
        <v>60</v>
      </c>
      <c r="G67" s="355">
        <v>60</v>
      </c>
    </row>
    <row r="68" spans="1:7" ht="16.5" customHeight="1">
      <c r="A68" s="362" t="s">
        <v>72</v>
      </c>
      <c r="B68" s="356">
        <f t="shared" si="5"/>
        <v>75</v>
      </c>
      <c r="C68" s="357"/>
      <c r="D68" s="356"/>
      <c r="E68" s="356"/>
      <c r="F68" s="355">
        <v>75</v>
      </c>
      <c r="G68" s="355"/>
    </row>
    <row r="69" spans="1:7" ht="16.5" customHeight="1">
      <c r="A69" s="361" t="s">
        <v>73</v>
      </c>
      <c r="B69" s="356">
        <f t="shared" si="5"/>
        <v>160</v>
      </c>
      <c r="C69" s="357"/>
      <c r="D69" s="356"/>
      <c r="E69" s="356"/>
      <c r="F69" s="355">
        <v>120</v>
      </c>
      <c r="G69" s="355">
        <v>40</v>
      </c>
    </row>
    <row r="70" spans="1:7" ht="16.5" customHeight="1">
      <c r="A70" s="361" t="s">
        <v>74</v>
      </c>
      <c r="B70" s="356">
        <f t="shared" si="5"/>
        <v>105</v>
      </c>
      <c r="C70" s="357"/>
      <c r="D70" s="356"/>
      <c r="E70" s="356"/>
      <c r="F70" s="355">
        <v>105</v>
      </c>
      <c r="G70" s="355"/>
    </row>
    <row r="71" spans="1:7" ht="16.5" customHeight="1">
      <c r="A71" s="361" t="s">
        <v>75</v>
      </c>
      <c r="B71" s="356">
        <f t="shared" si="5"/>
        <v>165</v>
      </c>
      <c r="C71" s="357"/>
      <c r="D71" s="356"/>
      <c r="E71" s="356"/>
      <c r="F71" s="355">
        <v>105</v>
      </c>
      <c r="G71" s="355">
        <v>60</v>
      </c>
    </row>
    <row r="72" spans="1:7" ht="16.5" customHeight="1">
      <c r="A72" s="361" t="s">
        <v>76</v>
      </c>
      <c r="B72" s="356">
        <f t="shared" si="5"/>
        <v>170</v>
      </c>
      <c r="C72" s="357"/>
      <c r="D72" s="356"/>
      <c r="E72" s="356"/>
      <c r="F72" s="355">
        <v>90</v>
      </c>
      <c r="G72" s="355">
        <v>80</v>
      </c>
    </row>
    <row r="73" spans="1:7" ht="16.5" customHeight="1">
      <c r="A73" s="361" t="s">
        <v>77</v>
      </c>
      <c r="B73" s="356">
        <f t="shared" si="5"/>
        <v>120</v>
      </c>
      <c r="C73" s="357"/>
      <c r="D73" s="356"/>
      <c r="E73" s="356"/>
      <c r="F73" s="355">
        <v>80</v>
      </c>
      <c r="G73" s="355">
        <v>40</v>
      </c>
    </row>
    <row r="74" spans="1:7" ht="16.5" customHeight="1">
      <c r="A74" s="361" t="s">
        <v>78</v>
      </c>
      <c r="B74" s="356">
        <f t="shared" si="5"/>
        <v>160</v>
      </c>
      <c r="C74" s="357"/>
      <c r="D74" s="356"/>
      <c r="E74" s="356"/>
      <c r="F74" s="355">
        <v>80</v>
      </c>
      <c r="G74" s="355">
        <v>80</v>
      </c>
    </row>
    <row r="75" spans="1:7" ht="16.5" customHeight="1">
      <c r="A75" s="361" t="s">
        <v>79</v>
      </c>
      <c r="B75" s="356">
        <f t="shared" si="5"/>
        <v>120</v>
      </c>
      <c r="C75" s="357"/>
      <c r="D75" s="356"/>
      <c r="E75" s="356"/>
      <c r="F75" s="355">
        <v>60</v>
      </c>
      <c r="G75" s="355">
        <v>60</v>
      </c>
    </row>
    <row r="76" spans="1:7" ht="16.5" customHeight="1">
      <c r="A76" s="361" t="s">
        <v>80</v>
      </c>
      <c r="B76" s="356">
        <f t="shared" si="5"/>
        <v>50</v>
      </c>
      <c r="C76" s="357"/>
      <c r="D76" s="356"/>
      <c r="E76" s="356"/>
      <c r="F76" s="355">
        <v>50</v>
      </c>
      <c r="G76" s="355"/>
    </row>
    <row r="77" spans="1:7" ht="16.5" customHeight="1">
      <c r="A77" s="361" t="s">
        <v>81</v>
      </c>
      <c r="B77" s="356">
        <f t="shared" si="5"/>
        <v>90</v>
      </c>
      <c r="C77" s="357"/>
      <c r="D77" s="356"/>
      <c r="E77" s="356"/>
      <c r="F77" s="355">
        <v>30</v>
      </c>
      <c r="G77" s="355">
        <v>60</v>
      </c>
    </row>
    <row r="78" spans="1:7" ht="16.5" customHeight="1">
      <c r="A78" s="361" t="s">
        <v>82</v>
      </c>
      <c r="B78" s="356">
        <f t="shared" si="5"/>
        <v>150</v>
      </c>
      <c r="C78" s="357"/>
      <c r="D78" s="356"/>
      <c r="E78" s="356"/>
      <c r="F78" s="355">
        <v>70</v>
      </c>
      <c r="G78" s="355">
        <v>80</v>
      </c>
    </row>
    <row r="79" spans="1:7" ht="16.5" customHeight="1">
      <c r="A79" s="361" t="s">
        <v>83</v>
      </c>
      <c r="B79" s="356">
        <f t="shared" si="5"/>
        <v>190</v>
      </c>
      <c r="C79" s="357"/>
      <c r="D79" s="356"/>
      <c r="E79" s="356"/>
      <c r="F79" s="355">
        <v>70</v>
      </c>
      <c r="G79" s="355">
        <v>120</v>
      </c>
    </row>
    <row r="80" spans="1:7" ht="16.5" customHeight="1">
      <c r="A80" s="361" t="s">
        <v>84</v>
      </c>
      <c r="B80" s="356">
        <f t="shared" si="5"/>
        <v>80</v>
      </c>
      <c r="C80" s="357"/>
      <c r="D80" s="356"/>
      <c r="E80" s="356"/>
      <c r="F80" s="355">
        <v>40</v>
      </c>
      <c r="G80" s="355">
        <v>40</v>
      </c>
    </row>
    <row r="81" spans="1:7" ht="16.5" customHeight="1">
      <c r="A81" s="361" t="s">
        <v>85</v>
      </c>
      <c r="B81" s="356">
        <f t="shared" si="5"/>
        <v>80</v>
      </c>
      <c r="C81" s="357"/>
      <c r="D81" s="356"/>
      <c r="E81" s="356"/>
      <c r="F81" s="355">
        <v>40</v>
      </c>
      <c r="G81" s="355">
        <v>40</v>
      </c>
    </row>
    <row r="82" spans="1:7" ht="16.5" customHeight="1">
      <c r="A82" s="361" t="s">
        <v>86</v>
      </c>
      <c r="B82" s="356">
        <f t="shared" si="5"/>
        <v>90</v>
      </c>
      <c r="C82" s="357"/>
      <c r="D82" s="356"/>
      <c r="E82" s="356"/>
      <c r="F82" s="355">
        <v>50</v>
      </c>
      <c r="G82" s="355">
        <v>40</v>
      </c>
    </row>
    <row r="83" spans="1:7" ht="16.5" customHeight="1">
      <c r="A83" s="361" t="s">
        <v>87</v>
      </c>
      <c r="B83" s="356">
        <f t="shared" si="5"/>
        <v>80</v>
      </c>
      <c r="C83" s="357"/>
      <c r="D83" s="356"/>
      <c r="E83" s="356"/>
      <c r="F83" s="355">
        <v>40</v>
      </c>
      <c r="G83" s="355">
        <v>40</v>
      </c>
    </row>
    <row r="84" spans="1:7" ht="16.5" customHeight="1">
      <c r="A84" s="361" t="s">
        <v>88</v>
      </c>
      <c r="B84" s="356">
        <f t="shared" si="5"/>
        <v>30</v>
      </c>
      <c r="C84" s="357"/>
      <c r="D84" s="356"/>
      <c r="E84" s="356"/>
      <c r="F84" s="355">
        <v>30</v>
      </c>
      <c r="G84" s="355"/>
    </row>
    <row r="85" spans="1:7" ht="16.5" customHeight="1">
      <c r="A85" s="361" t="s">
        <v>89</v>
      </c>
      <c r="B85" s="356">
        <f t="shared" si="5"/>
        <v>100</v>
      </c>
      <c r="C85" s="357"/>
      <c r="D85" s="356"/>
      <c r="E85" s="356"/>
      <c r="F85" s="355">
        <v>40</v>
      </c>
      <c r="G85" s="355">
        <v>60</v>
      </c>
    </row>
    <row r="86" spans="1:7" ht="16.5" customHeight="1">
      <c r="A86" s="361" t="s">
        <v>90</v>
      </c>
      <c r="B86" s="356">
        <f t="shared" si="5"/>
        <v>80</v>
      </c>
      <c r="C86" s="357"/>
      <c r="D86" s="356"/>
      <c r="E86" s="356"/>
      <c r="F86" s="355">
        <v>40</v>
      </c>
      <c r="G86" s="355">
        <v>40</v>
      </c>
    </row>
    <row r="87" spans="1:7" ht="16.5" customHeight="1">
      <c r="A87" s="361" t="s">
        <v>91</v>
      </c>
      <c r="B87" s="356">
        <f t="shared" si="5"/>
        <v>80</v>
      </c>
      <c r="C87" s="357"/>
      <c r="D87" s="356"/>
      <c r="E87" s="356"/>
      <c r="F87" s="355">
        <v>40</v>
      </c>
      <c r="G87" s="355">
        <v>40</v>
      </c>
    </row>
    <row r="88" spans="1:7" ht="16.5" customHeight="1">
      <c r="A88" s="361" t="s">
        <v>92</v>
      </c>
      <c r="B88" s="356">
        <f t="shared" si="5"/>
        <v>45</v>
      </c>
      <c r="C88" s="357"/>
      <c r="D88" s="356"/>
      <c r="E88" s="356"/>
      <c r="F88" s="355">
        <v>45</v>
      </c>
      <c r="G88" s="355"/>
    </row>
    <row r="89" spans="1:7" ht="16.5" customHeight="1">
      <c r="A89" s="361" t="s">
        <v>93</v>
      </c>
      <c r="B89" s="356">
        <f t="shared" si="5"/>
        <v>60</v>
      </c>
      <c r="C89" s="357"/>
      <c r="D89" s="356"/>
      <c r="E89" s="356"/>
      <c r="F89" s="355">
        <v>60</v>
      </c>
      <c r="G89" s="355"/>
    </row>
    <row r="90" spans="1:7" ht="16.5" customHeight="1">
      <c r="A90" s="361" t="s">
        <v>94</v>
      </c>
      <c r="B90" s="356">
        <f t="shared" si="5"/>
        <v>190</v>
      </c>
      <c r="C90" s="355"/>
      <c r="D90" s="355"/>
      <c r="E90" s="355"/>
      <c r="F90" s="355">
        <v>150</v>
      </c>
      <c r="G90" s="355">
        <v>40</v>
      </c>
    </row>
    <row r="91" spans="1:7" ht="16.5" customHeight="1">
      <c r="A91" s="361" t="s">
        <v>95</v>
      </c>
      <c r="B91" s="356">
        <f t="shared" si="5"/>
        <v>140</v>
      </c>
      <c r="C91" s="355"/>
      <c r="D91" s="355"/>
      <c r="E91" s="355"/>
      <c r="F91" s="355">
        <v>60</v>
      </c>
      <c r="G91" s="355">
        <v>80</v>
      </c>
    </row>
    <row r="92" spans="1:7" ht="16.5" customHeight="1">
      <c r="A92" s="361" t="s">
        <v>96</v>
      </c>
      <c r="B92" s="356">
        <f t="shared" si="5"/>
        <v>90</v>
      </c>
      <c r="C92" s="355"/>
      <c r="D92" s="355"/>
      <c r="E92" s="355"/>
      <c r="F92" s="355">
        <v>50</v>
      </c>
      <c r="G92" s="355">
        <v>40</v>
      </c>
    </row>
    <row r="93" spans="1:7" ht="16.5" customHeight="1">
      <c r="A93" s="361" t="s">
        <v>97</v>
      </c>
      <c r="B93" s="356">
        <f t="shared" si="5"/>
        <v>170</v>
      </c>
      <c r="C93" s="355"/>
      <c r="D93" s="355"/>
      <c r="E93" s="355"/>
      <c r="F93" s="355">
        <v>70</v>
      </c>
      <c r="G93" s="355">
        <v>100</v>
      </c>
    </row>
    <row r="94" spans="1:7" ht="16.5" customHeight="1">
      <c r="A94" s="361" t="s">
        <v>98</v>
      </c>
      <c r="B94" s="356">
        <f t="shared" si="5"/>
        <v>70</v>
      </c>
      <c r="C94" s="355"/>
      <c r="D94" s="355"/>
      <c r="E94" s="355"/>
      <c r="F94" s="355">
        <v>30</v>
      </c>
      <c r="G94" s="355">
        <v>40</v>
      </c>
    </row>
    <row r="95" spans="1:7" ht="16.5" customHeight="1">
      <c r="A95" s="361" t="s">
        <v>99</v>
      </c>
      <c r="B95" s="356">
        <f t="shared" si="5"/>
        <v>90</v>
      </c>
      <c r="C95" s="355"/>
      <c r="D95" s="355"/>
      <c r="E95" s="355"/>
      <c r="F95" s="355">
        <v>30</v>
      </c>
      <c r="G95" s="355">
        <v>60</v>
      </c>
    </row>
    <row r="96" ht="30" customHeight="1">
      <c r="A96" s="363" t="s">
        <v>100</v>
      </c>
    </row>
    <row r="97" ht="16.5" customHeight="1"/>
    <row r="98" ht="16.5" customHeight="1"/>
    <row r="99" ht="16.5" customHeight="1"/>
    <row r="100" spans="1:254" s="347" customFormat="1" ht="16.5" customHeight="1">
      <c r="A100" s="348"/>
      <c r="B100" s="348"/>
      <c r="C100" s="348"/>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8"/>
      <c r="AV100" s="348"/>
      <c r="AW100" s="348"/>
      <c r="AX100" s="348"/>
      <c r="AY100" s="348"/>
      <c r="AZ100" s="348"/>
      <c r="BA100" s="348"/>
      <c r="BB100" s="348"/>
      <c r="BC100" s="348"/>
      <c r="BD100" s="348"/>
      <c r="BE100" s="348"/>
      <c r="BF100" s="348"/>
      <c r="BG100" s="348"/>
      <c r="BH100" s="348"/>
      <c r="BI100" s="348"/>
      <c r="BJ100" s="348"/>
      <c r="BK100" s="348"/>
      <c r="BL100" s="348"/>
      <c r="BM100" s="348"/>
      <c r="BN100" s="348"/>
      <c r="BO100" s="348"/>
      <c r="BP100" s="348"/>
      <c r="BQ100" s="348"/>
      <c r="BR100" s="348"/>
      <c r="BS100" s="348"/>
      <c r="BT100" s="348"/>
      <c r="BU100" s="348"/>
      <c r="BV100" s="348"/>
      <c r="BW100" s="348"/>
      <c r="BX100" s="348"/>
      <c r="BY100" s="348"/>
      <c r="BZ100" s="348"/>
      <c r="CA100" s="348"/>
      <c r="CB100" s="348"/>
      <c r="CC100" s="348"/>
      <c r="CD100" s="348"/>
      <c r="CE100" s="348"/>
      <c r="CF100" s="348"/>
      <c r="CG100" s="348"/>
      <c r="CH100" s="348"/>
      <c r="CI100" s="348"/>
      <c r="CJ100" s="348"/>
      <c r="CK100" s="348"/>
      <c r="CL100" s="348"/>
      <c r="CM100" s="348"/>
      <c r="CN100" s="348"/>
      <c r="CO100" s="348"/>
      <c r="CP100" s="348"/>
      <c r="CQ100" s="348"/>
      <c r="CR100" s="348"/>
      <c r="CS100" s="348"/>
      <c r="CT100" s="348"/>
      <c r="CU100" s="348"/>
      <c r="CV100" s="348"/>
      <c r="CW100" s="348"/>
      <c r="CX100" s="348"/>
      <c r="CY100" s="348"/>
      <c r="CZ100" s="348"/>
      <c r="DA100" s="348"/>
      <c r="DB100" s="348"/>
      <c r="DC100" s="348"/>
      <c r="DD100" s="348"/>
      <c r="DE100" s="348"/>
      <c r="DF100" s="348"/>
      <c r="DG100" s="348"/>
      <c r="DH100" s="348"/>
      <c r="DI100" s="348"/>
      <c r="DJ100" s="348"/>
      <c r="DK100" s="348"/>
      <c r="DL100" s="348"/>
      <c r="DM100" s="348"/>
      <c r="DN100" s="348"/>
      <c r="DO100" s="348"/>
      <c r="DP100" s="348"/>
      <c r="DQ100" s="348"/>
      <c r="DR100" s="348"/>
      <c r="DS100" s="348"/>
      <c r="DT100" s="348"/>
      <c r="DU100" s="348"/>
      <c r="DV100" s="348"/>
      <c r="DW100" s="348"/>
      <c r="DX100" s="348"/>
      <c r="DY100" s="348"/>
      <c r="DZ100" s="348"/>
      <c r="EA100" s="348"/>
      <c r="EB100" s="348"/>
      <c r="EC100" s="348"/>
      <c r="ED100" s="348"/>
      <c r="EE100" s="348"/>
      <c r="EF100" s="348"/>
      <c r="EG100" s="348"/>
      <c r="EH100" s="348"/>
      <c r="EI100" s="348"/>
      <c r="EJ100" s="348"/>
      <c r="EK100" s="348"/>
      <c r="EL100" s="348"/>
      <c r="EM100" s="348"/>
      <c r="EN100" s="348"/>
      <c r="EO100" s="348"/>
      <c r="EP100" s="348"/>
      <c r="EQ100" s="348"/>
      <c r="ER100" s="348"/>
      <c r="ES100" s="348"/>
      <c r="ET100" s="348"/>
      <c r="EU100" s="348"/>
      <c r="EV100" s="348"/>
      <c r="EW100" s="348"/>
      <c r="EX100" s="348"/>
      <c r="EY100" s="348"/>
      <c r="EZ100" s="348"/>
      <c r="FA100" s="348"/>
      <c r="FB100" s="348"/>
      <c r="FC100" s="348"/>
      <c r="FD100" s="348"/>
      <c r="FE100" s="348"/>
      <c r="FF100" s="348"/>
      <c r="FG100" s="348"/>
      <c r="FH100" s="348"/>
      <c r="FI100" s="348"/>
      <c r="FJ100" s="348"/>
      <c r="FK100" s="348"/>
      <c r="FL100" s="348"/>
      <c r="FM100" s="348"/>
      <c r="FN100" s="348"/>
      <c r="FO100" s="348"/>
      <c r="FP100" s="348"/>
      <c r="FQ100" s="348"/>
      <c r="FR100" s="348"/>
      <c r="FS100" s="348"/>
      <c r="FT100" s="348"/>
      <c r="FU100" s="348"/>
      <c r="FV100" s="348"/>
      <c r="FW100" s="348"/>
      <c r="FX100" s="348"/>
      <c r="FY100" s="348"/>
      <c r="FZ100" s="348"/>
      <c r="GA100" s="348"/>
      <c r="GB100" s="348"/>
      <c r="GC100" s="348"/>
      <c r="GD100" s="348"/>
      <c r="GE100" s="348"/>
      <c r="GF100" s="348"/>
      <c r="GG100" s="348"/>
      <c r="GH100" s="348"/>
      <c r="GI100" s="348"/>
      <c r="GJ100" s="348"/>
      <c r="GK100" s="348"/>
      <c r="GL100" s="348"/>
      <c r="GM100" s="348"/>
      <c r="GN100" s="348"/>
      <c r="GO100" s="348"/>
      <c r="GP100" s="348"/>
      <c r="GQ100" s="348"/>
      <c r="GR100" s="348"/>
      <c r="GS100" s="348"/>
      <c r="GT100" s="348"/>
      <c r="GU100" s="348"/>
      <c r="GV100" s="348"/>
      <c r="GW100" s="348"/>
      <c r="GX100" s="348"/>
      <c r="GY100" s="348"/>
      <c r="GZ100" s="348"/>
      <c r="HA100" s="348"/>
      <c r="HB100" s="348"/>
      <c r="HC100" s="348"/>
      <c r="HD100" s="348"/>
      <c r="HE100" s="348"/>
      <c r="HF100" s="348"/>
      <c r="HG100" s="348"/>
      <c r="HH100" s="348"/>
      <c r="HI100" s="348"/>
      <c r="HJ100" s="348"/>
      <c r="HK100" s="348"/>
      <c r="HL100" s="348"/>
      <c r="HM100" s="348"/>
      <c r="HN100" s="348"/>
      <c r="HO100" s="348"/>
      <c r="HP100" s="348"/>
      <c r="HQ100" s="348"/>
      <c r="HR100" s="348"/>
      <c r="HS100" s="348"/>
      <c r="HT100" s="348"/>
      <c r="HU100" s="348"/>
      <c r="HV100" s="348"/>
      <c r="HW100" s="348"/>
      <c r="HX100" s="348"/>
      <c r="HY100" s="348"/>
      <c r="HZ100" s="348"/>
      <c r="IA100" s="348"/>
      <c r="IB100" s="348"/>
      <c r="IC100" s="348"/>
      <c r="ID100" s="348"/>
      <c r="IE100" s="348"/>
      <c r="IF100" s="348"/>
      <c r="IG100" s="348"/>
      <c r="IH100" s="348"/>
      <c r="II100" s="348"/>
      <c r="IJ100" s="348"/>
      <c r="IK100" s="348"/>
      <c r="IL100" s="348"/>
      <c r="IM100" s="348"/>
      <c r="IN100" s="348"/>
      <c r="IO100" s="348"/>
      <c r="IP100" s="348"/>
      <c r="IQ100" s="348"/>
      <c r="IR100" s="348"/>
      <c r="IS100" s="348"/>
      <c r="IT100" s="348"/>
    </row>
    <row r="101" spans="1:254" s="347" customFormat="1" ht="16.5" customHeight="1">
      <c r="A101" s="348"/>
      <c r="B101" s="348"/>
      <c r="C101" s="348"/>
      <c r="D101" s="348"/>
      <c r="E101" s="348"/>
      <c r="F101" s="348"/>
      <c r="G101" s="348"/>
      <c r="H101" s="348"/>
      <c r="I101" s="348"/>
      <c r="J101" s="348"/>
      <c r="K101" s="348"/>
      <c r="L101" s="348"/>
      <c r="M101" s="348"/>
      <c r="N101" s="348"/>
      <c r="O101" s="348"/>
      <c r="P101" s="348"/>
      <c r="Q101" s="348"/>
      <c r="R101" s="348"/>
      <c r="S101" s="348"/>
      <c r="T101" s="348"/>
      <c r="U101" s="348"/>
      <c r="V101" s="348"/>
      <c r="W101" s="348"/>
      <c r="X101" s="348"/>
      <c r="Y101" s="348"/>
      <c r="Z101" s="348"/>
      <c r="AA101" s="348"/>
      <c r="AB101" s="348"/>
      <c r="AC101" s="348"/>
      <c r="AD101" s="348"/>
      <c r="AE101" s="348"/>
      <c r="AF101" s="348"/>
      <c r="AG101" s="348"/>
      <c r="AH101" s="348"/>
      <c r="AI101" s="348"/>
      <c r="AJ101" s="348"/>
      <c r="AK101" s="348"/>
      <c r="AL101" s="348"/>
      <c r="AM101" s="348"/>
      <c r="AN101" s="348"/>
      <c r="AO101" s="348"/>
      <c r="AP101" s="348"/>
      <c r="AQ101" s="348"/>
      <c r="AR101" s="348"/>
      <c r="AS101" s="348"/>
      <c r="AT101" s="348"/>
      <c r="AU101" s="348"/>
      <c r="AV101" s="348"/>
      <c r="AW101" s="348"/>
      <c r="AX101" s="348"/>
      <c r="AY101" s="348"/>
      <c r="AZ101" s="348"/>
      <c r="BA101" s="348"/>
      <c r="BB101" s="348"/>
      <c r="BC101" s="348"/>
      <c r="BD101" s="348"/>
      <c r="BE101" s="348"/>
      <c r="BF101" s="348"/>
      <c r="BG101" s="348"/>
      <c r="BH101" s="348"/>
      <c r="BI101" s="348"/>
      <c r="BJ101" s="348"/>
      <c r="BK101" s="348"/>
      <c r="BL101" s="348"/>
      <c r="BM101" s="348"/>
      <c r="BN101" s="348"/>
      <c r="BO101" s="348"/>
      <c r="BP101" s="348"/>
      <c r="BQ101" s="348"/>
      <c r="BR101" s="348"/>
      <c r="BS101" s="348"/>
      <c r="BT101" s="348"/>
      <c r="BU101" s="348"/>
      <c r="BV101" s="348"/>
      <c r="BW101" s="348"/>
      <c r="BX101" s="348"/>
      <c r="BY101" s="348"/>
      <c r="BZ101" s="348"/>
      <c r="CA101" s="348"/>
      <c r="CB101" s="348"/>
      <c r="CC101" s="348"/>
      <c r="CD101" s="348"/>
      <c r="CE101" s="348"/>
      <c r="CF101" s="348"/>
      <c r="CG101" s="348"/>
      <c r="CH101" s="348"/>
      <c r="CI101" s="348"/>
      <c r="CJ101" s="348"/>
      <c r="CK101" s="348"/>
      <c r="CL101" s="348"/>
      <c r="CM101" s="348"/>
      <c r="CN101" s="348"/>
      <c r="CO101" s="348"/>
      <c r="CP101" s="348"/>
      <c r="CQ101" s="348"/>
      <c r="CR101" s="348"/>
      <c r="CS101" s="348"/>
      <c r="CT101" s="348"/>
      <c r="CU101" s="348"/>
      <c r="CV101" s="348"/>
      <c r="CW101" s="348"/>
      <c r="CX101" s="348"/>
      <c r="CY101" s="348"/>
      <c r="CZ101" s="348"/>
      <c r="DA101" s="348"/>
      <c r="DB101" s="348"/>
      <c r="DC101" s="348"/>
      <c r="DD101" s="348"/>
      <c r="DE101" s="348"/>
      <c r="DF101" s="348"/>
      <c r="DG101" s="348"/>
      <c r="DH101" s="348"/>
      <c r="DI101" s="348"/>
      <c r="DJ101" s="348"/>
      <c r="DK101" s="348"/>
      <c r="DL101" s="348"/>
      <c r="DM101" s="348"/>
      <c r="DN101" s="348"/>
      <c r="DO101" s="348"/>
      <c r="DP101" s="348"/>
      <c r="DQ101" s="348"/>
      <c r="DR101" s="348"/>
      <c r="DS101" s="348"/>
      <c r="DT101" s="348"/>
      <c r="DU101" s="348"/>
      <c r="DV101" s="348"/>
      <c r="DW101" s="348"/>
      <c r="DX101" s="348"/>
      <c r="DY101" s="348"/>
      <c r="DZ101" s="348"/>
      <c r="EA101" s="348"/>
      <c r="EB101" s="348"/>
      <c r="EC101" s="348"/>
      <c r="ED101" s="348"/>
      <c r="EE101" s="348"/>
      <c r="EF101" s="348"/>
      <c r="EG101" s="348"/>
      <c r="EH101" s="348"/>
      <c r="EI101" s="348"/>
      <c r="EJ101" s="348"/>
      <c r="EK101" s="348"/>
      <c r="EL101" s="348"/>
      <c r="EM101" s="348"/>
      <c r="EN101" s="348"/>
      <c r="EO101" s="348"/>
      <c r="EP101" s="348"/>
      <c r="EQ101" s="348"/>
      <c r="ER101" s="348"/>
      <c r="ES101" s="348"/>
      <c r="ET101" s="348"/>
      <c r="EU101" s="348"/>
      <c r="EV101" s="348"/>
      <c r="EW101" s="348"/>
      <c r="EX101" s="348"/>
      <c r="EY101" s="348"/>
      <c r="EZ101" s="348"/>
      <c r="FA101" s="348"/>
      <c r="FB101" s="348"/>
      <c r="FC101" s="348"/>
      <c r="FD101" s="348"/>
      <c r="FE101" s="348"/>
      <c r="FF101" s="348"/>
      <c r="FG101" s="348"/>
      <c r="FH101" s="348"/>
      <c r="FI101" s="348"/>
      <c r="FJ101" s="348"/>
      <c r="FK101" s="348"/>
      <c r="FL101" s="348"/>
      <c r="FM101" s="348"/>
      <c r="FN101" s="348"/>
      <c r="FO101" s="348"/>
      <c r="FP101" s="348"/>
      <c r="FQ101" s="348"/>
      <c r="FR101" s="348"/>
      <c r="FS101" s="348"/>
      <c r="FT101" s="348"/>
      <c r="FU101" s="348"/>
      <c r="FV101" s="348"/>
      <c r="FW101" s="348"/>
      <c r="FX101" s="348"/>
      <c r="FY101" s="348"/>
      <c r="FZ101" s="348"/>
      <c r="GA101" s="348"/>
      <c r="GB101" s="348"/>
      <c r="GC101" s="348"/>
      <c r="GD101" s="348"/>
      <c r="GE101" s="348"/>
      <c r="GF101" s="348"/>
      <c r="GG101" s="348"/>
      <c r="GH101" s="348"/>
      <c r="GI101" s="348"/>
      <c r="GJ101" s="348"/>
      <c r="GK101" s="348"/>
      <c r="GL101" s="348"/>
      <c r="GM101" s="348"/>
      <c r="GN101" s="348"/>
      <c r="GO101" s="348"/>
      <c r="GP101" s="348"/>
      <c r="GQ101" s="348"/>
      <c r="GR101" s="348"/>
      <c r="GS101" s="348"/>
      <c r="GT101" s="348"/>
      <c r="GU101" s="348"/>
      <c r="GV101" s="348"/>
      <c r="GW101" s="348"/>
      <c r="GX101" s="348"/>
      <c r="GY101" s="348"/>
      <c r="GZ101" s="348"/>
      <c r="HA101" s="348"/>
      <c r="HB101" s="348"/>
      <c r="HC101" s="348"/>
      <c r="HD101" s="348"/>
      <c r="HE101" s="348"/>
      <c r="HF101" s="348"/>
      <c r="HG101" s="348"/>
      <c r="HH101" s="348"/>
      <c r="HI101" s="348"/>
      <c r="HJ101" s="348"/>
      <c r="HK101" s="348"/>
      <c r="HL101" s="348"/>
      <c r="HM101" s="348"/>
      <c r="HN101" s="348"/>
      <c r="HO101" s="348"/>
      <c r="HP101" s="348"/>
      <c r="HQ101" s="348"/>
      <c r="HR101" s="348"/>
      <c r="HS101" s="348"/>
      <c r="HT101" s="348"/>
      <c r="HU101" s="348"/>
      <c r="HV101" s="348"/>
      <c r="HW101" s="348"/>
      <c r="HX101" s="348"/>
      <c r="HY101" s="348"/>
      <c r="HZ101" s="348"/>
      <c r="IA101" s="348"/>
      <c r="IB101" s="348"/>
      <c r="IC101" s="348"/>
      <c r="ID101" s="348"/>
      <c r="IE101" s="348"/>
      <c r="IF101" s="348"/>
      <c r="IG101" s="348"/>
      <c r="IH101" s="348"/>
      <c r="II101" s="348"/>
      <c r="IJ101" s="348"/>
      <c r="IK101" s="348"/>
      <c r="IL101" s="348"/>
      <c r="IM101" s="348"/>
      <c r="IN101" s="348"/>
      <c r="IO101" s="348"/>
      <c r="IP101" s="348"/>
      <c r="IQ101" s="348"/>
      <c r="IR101" s="348"/>
      <c r="IS101" s="348"/>
      <c r="IT101" s="348"/>
    </row>
    <row r="102" spans="1:254" s="347" customFormat="1" ht="16.5" customHeight="1">
      <c r="A102" s="348"/>
      <c r="B102" s="348"/>
      <c r="C102" s="348"/>
      <c r="D102" s="348"/>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348"/>
      <c r="AI102" s="348"/>
      <c r="AJ102" s="348"/>
      <c r="AK102" s="348"/>
      <c r="AL102" s="348"/>
      <c r="AM102" s="348"/>
      <c r="AN102" s="348"/>
      <c r="AO102" s="348"/>
      <c r="AP102" s="348"/>
      <c r="AQ102" s="348"/>
      <c r="AR102" s="348"/>
      <c r="AS102" s="348"/>
      <c r="AT102" s="348"/>
      <c r="AU102" s="348"/>
      <c r="AV102" s="348"/>
      <c r="AW102" s="348"/>
      <c r="AX102" s="348"/>
      <c r="AY102" s="348"/>
      <c r="AZ102" s="348"/>
      <c r="BA102" s="348"/>
      <c r="BB102" s="348"/>
      <c r="BC102" s="348"/>
      <c r="BD102" s="348"/>
      <c r="BE102" s="348"/>
      <c r="BF102" s="348"/>
      <c r="BG102" s="348"/>
      <c r="BH102" s="348"/>
      <c r="BI102" s="348"/>
      <c r="BJ102" s="348"/>
      <c r="BK102" s="348"/>
      <c r="BL102" s="348"/>
      <c r="BM102" s="348"/>
      <c r="BN102" s="348"/>
      <c r="BO102" s="348"/>
      <c r="BP102" s="348"/>
      <c r="BQ102" s="348"/>
      <c r="BR102" s="348"/>
      <c r="BS102" s="348"/>
      <c r="BT102" s="348"/>
      <c r="BU102" s="348"/>
      <c r="BV102" s="348"/>
      <c r="BW102" s="348"/>
      <c r="BX102" s="348"/>
      <c r="BY102" s="348"/>
      <c r="BZ102" s="348"/>
      <c r="CA102" s="348"/>
      <c r="CB102" s="348"/>
      <c r="CC102" s="348"/>
      <c r="CD102" s="348"/>
      <c r="CE102" s="348"/>
      <c r="CF102" s="348"/>
      <c r="CG102" s="348"/>
      <c r="CH102" s="348"/>
      <c r="CI102" s="348"/>
      <c r="CJ102" s="348"/>
      <c r="CK102" s="348"/>
      <c r="CL102" s="348"/>
      <c r="CM102" s="348"/>
      <c r="CN102" s="348"/>
      <c r="CO102" s="348"/>
      <c r="CP102" s="348"/>
      <c r="CQ102" s="348"/>
      <c r="CR102" s="348"/>
      <c r="CS102" s="348"/>
      <c r="CT102" s="348"/>
      <c r="CU102" s="348"/>
      <c r="CV102" s="348"/>
      <c r="CW102" s="348"/>
      <c r="CX102" s="348"/>
      <c r="CY102" s="348"/>
      <c r="CZ102" s="348"/>
      <c r="DA102" s="348"/>
      <c r="DB102" s="348"/>
      <c r="DC102" s="348"/>
      <c r="DD102" s="348"/>
      <c r="DE102" s="348"/>
      <c r="DF102" s="348"/>
      <c r="DG102" s="348"/>
      <c r="DH102" s="348"/>
      <c r="DI102" s="348"/>
      <c r="DJ102" s="348"/>
      <c r="DK102" s="348"/>
      <c r="DL102" s="348"/>
      <c r="DM102" s="348"/>
      <c r="DN102" s="348"/>
      <c r="DO102" s="348"/>
      <c r="DP102" s="348"/>
      <c r="DQ102" s="348"/>
      <c r="DR102" s="348"/>
      <c r="DS102" s="348"/>
      <c r="DT102" s="348"/>
      <c r="DU102" s="348"/>
      <c r="DV102" s="348"/>
      <c r="DW102" s="348"/>
      <c r="DX102" s="348"/>
      <c r="DY102" s="348"/>
      <c r="DZ102" s="348"/>
      <c r="EA102" s="348"/>
      <c r="EB102" s="348"/>
      <c r="EC102" s="348"/>
      <c r="ED102" s="348"/>
      <c r="EE102" s="348"/>
      <c r="EF102" s="348"/>
      <c r="EG102" s="348"/>
      <c r="EH102" s="348"/>
      <c r="EI102" s="348"/>
      <c r="EJ102" s="348"/>
      <c r="EK102" s="348"/>
      <c r="EL102" s="348"/>
      <c r="EM102" s="348"/>
      <c r="EN102" s="348"/>
      <c r="EO102" s="348"/>
      <c r="EP102" s="348"/>
      <c r="EQ102" s="348"/>
      <c r="ER102" s="348"/>
      <c r="ES102" s="348"/>
      <c r="ET102" s="348"/>
      <c r="EU102" s="348"/>
      <c r="EV102" s="348"/>
      <c r="EW102" s="348"/>
      <c r="EX102" s="348"/>
      <c r="EY102" s="348"/>
      <c r="EZ102" s="348"/>
      <c r="FA102" s="348"/>
      <c r="FB102" s="348"/>
      <c r="FC102" s="348"/>
      <c r="FD102" s="348"/>
      <c r="FE102" s="348"/>
      <c r="FF102" s="348"/>
      <c r="FG102" s="348"/>
      <c r="FH102" s="348"/>
      <c r="FI102" s="348"/>
      <c r="FJ102" s="348"/>
      <c r="FK102" s="348"/>
      <c r="FL102" s="348"/>
      <c r="FM102" s="348"/>
      <c r="FN102" s="348"/>
      <c r="FO102" s="348"/>
      <c r="FP102" s="348"/>
      <c r="FQ102" s="348"/>
      <c r="FR102" s="348"/>
      <c r="FS102" s="348"/>
      <c r="FT102" s="348"/>
      <c r="FU102" s="348"/>
      <c r="FV102" s="348"/>
      <c r="FW102" s="348"/>
      <c r="FX102" s="348"/>
      <c r="FY102" s="348"/>
      <c r="FZ102" s="348"/>
      <c r="GA102" s="348"/>
      <c r="GB102" s="348"/>
      <c r="GC102" s="348"/>
      <c r="GD102" s="348"/>
      <c r="GE102" s="348"/>
      <c r="GF102" s="348"/>
      <c r="GG102" s="348"/>
      <c r="GH102" s="348"/>
      <c r="GI102" s="348"/>
      <c r="GJ102" s="348"/>
      <c r="GK102" s="348"/>
      <c r="GL102" s="348"/>
      <c r="GM102" s="348"/>
      <c r="GN102" s="348"/>
      <c r="GO102" s="348"/>
      <c r="GP102" s="348"/>
      <c r="GQ102" s="348"/>
      <c r="GR102" s="348"/>
      <c r="GS102" s="348"/>
      <c r="GT102" s="348"/>
      <c r="GU102" s="348"/>
      <c r="GV102" s="348"/>
      <c r="GW102" s="348"/>
      <c r="GX102" s="348"/>
      <c r="GY102" s="348"/>
      <c r="GZ102" s="348"/>
      <c r="HA102" s="348"/>
      <c r="HB102" s="348"/>
      <c r="HC102" s="348"/>
      <c r="HD102" s="348"/>
      <c r="HE102" s="348"/>
      <c r="HF102" s="348"/>
      <c r="HG102" s="348"/>
      <c r="HH102" s="348"/>
      <c r="HI102" s="348"/>
      <c r="HJ102" s="348"/>
      <c r="HK102" s="348"/>
      <c r="HL102" s="348"/>
      <c r="HM102" s="348"/>
      <c r="HN102" s="348"/>
      <c r="HO102" s="348"/>
      <c r="HP102" s="348"/>
      <c r="HQ102" s="348"/>
      <c r="HR102" s="348"/>
      <c r="HS102" s="348"/>
      <c r="HT102" s="348"/>
      <c r="HU102" s="348"/>
      <c r="HV102" s="348"/>
      <c r="HW102" s="348"/>
      <c r="HX102" s="348"/>
      <c r="HY102" s="348"/>
      <c r="HZ102" s="348"/>
      <c r="IA102" s="348"/>
      <c r="IB102" s="348"/>
      <c r="IC102" s="348"/>
      <c r="ID102" s="348"/>
      <c r="IE102" s="348"/>
      <c r="IF102" s="348"/>
      <c r="IG102" s="348"/>
      <c r="IH102" s="348"/>
      <c r="II102" s="348"/>
      <c r="IJ102" s="348"/>
      <c r="IK102" s="348"/>
      <c r="IL102" s="348"/>
      <c r="IM102" s="348"/>
      <c r="IN102" s="348"/>
      <c r="IO102" s="348"/>
      <c r="IP102" s="348"/>
      <c r="IQ102" s="348"/>
      <c r="IR102" s="348"/>
      <c r="IS102" s="348"/>
      <c r="IT102" s="348"/>
    </row>
    <row r="103" ht="16.5" customHeight="1"/>
    <row r="104" ht="16.5" customHeight="1"/>
    <row r="105" ht="25.5" customHeight="1"/>
  </sheetData>
  <sheetProtection/>
  <mergeCells count="2">
    <mergeCell ref="A2:G2"/>
    <mergeCell ref="A3:G3"/>
  </mergeCells>
  <printOptions horizontalCentered="1"/>
  <pageMargins left="0.4722222222222222" right="0.4722222222222222" top="0.5902777777777778" bottom="0.7868055555555555" header="0.3145833333333333" footer="0.5118055555555555"/>
  <pageSetup fitToHeight="0" fitToWidth="1" horizontalDpi="600" verticalDpi="600" orientation="portrait" paperSize="9" scale="79"/>
</worksheet>
</file>

<file path=xl/worksheets/sheet10.xml><?xml version="1.0" encoding="utf-8"?>
<worksheet xmlns="http://schemas.openxmlformats.org/spreadsheetml/2006/main" xmlns:r="http://schemas.openxmlformats.org/officeDocument/2006/relationships">
  <dimension ref="A1:K92"/>
  <sheetViews>
    <sheetView zoomScale="90" zoomScaleNormal="90" zoomScaleSheetLayoutView="100" workbookViewId="0" topLeftCell="A4">
      <selection activeCell="A17" sqref="A17"/>
    </sheetView>
  </sheetViews>
  <sheetFormatPr defaultColWidth="9.00390625" defaultRowHeight="15"/>
  <cols>
    <col min="1" max="1" width="27.421875" style="0" customWidth="1"/>
    <col min="5" max="5" width="11.140625" style="0" customWidth="1"/>
    <col min="11" max="11" width="23.140625" style="0" customWidth="1"/>
  </cols>
  <sheetData>
    <row r="1" spans="1:11" ht="14.25">
      <c r="A1" s="92" t="s">
        <v>429</v>
      </c>
      <c r="B1" s="35"/>
      <c r="C1" s="35"/>
      <c r="D1" s="35"/>
      <c r="E1" s="35"/>
      <c r="F1" s="35"/>
      <c r="G1" s="35"/>
      <c r="H1" s="35"/>
      <c r="I1" s="35"/>
      <c r="J1" s="35"/>
      <c r="K1" s="35"/>
    </row>
    <row r="2" spans="1:11" ht="19.5">
      <c r="A2" s="93" t="s">
        <v>430</v>
      </c>
      <c r="B2" s="93"/>
      <c r="C2" s="93"/>
      <c r="D2" s="93"/>
      <c r="E2" s="93"/>
      <c r="F2" s="94"/>
      <c r="G2" s="93"/>
      <c r="H2" s="93"/>
      <c r="I2" s="93"/>
      <c r="J2" s="93"/>
      <c r="K2" s="93"/>
    </row>
    <row r="3" spans="1:11" ht="19.5">
      <c r="A3" s="93"/>
      <c r="B3" s="93"/>
      <c r="C3" s="93"/>
      <c r="D3" s="93"/>
      <c r="E3" s="93"/>
      <c r="F3" s="94"/>
      <c r="G3" s="93"/>
      <c r="H3" s="93"/>
      <c r="I3" s="93"/>
      <c r="J3" s="93"/>
      <c r="K3" s="108" t="s">
        <v>431</v>
      </c>
    </row>
    <row r="4" spans="1:11" ht="13.5">
      <c r="A4" s="95" t="s">
        <v>3</v>
      </c>
      <c r="B4" s="10" t="s">
        <v>432</v>
      </c>
      <c r="C4" s="10"/>
      <c r="D4" s="10"/>
      <c r="E4" s="10"/>
      <c r="F4" s="10" t="s">
        <v>104</v>
      </c>
      <c r="G4" s="10"/>
      <c r="H4" s="10" t="s">
        <v>105</v>
      </c>
      <c r="I4" s="10"/>
      <c r="J4" s="10" t="s">
        <v>106</v>
      </c>
      <c r="K4" s="10" t="s">
        <v>433</v>
      </c>
    </row>
    <row r="5" spans="1:11" ht="54">
      <c r="A5" s="95"/>
      <c r="B5" s="20" t="s">
        <v>434</v>
      </c>
      <c r="C5" s="20" t="s">
        <v>435</v>
      </c>
      <c r="D5" s="20" t="s">
        <v>436</v>
      </c>
      <c r="E5" s="20" t="s">
        <v>437</v>
      </c>
      <c r="F5" s="13" t="s">
        <v>438</v>
      </c>
      <c r="G5" s="13" t="s">
        <v>439</v>
      </c>
      <c r="H5" s="20" t="s">
        <v>440</v>
      </c>
      <c r="I5" s="20" t="s">
        <v>441</v>
      </c>
      <c r="J5" s="20"/>
      <c r="K5" s="20"/>
    </row>
    <row r="6" spans="1:11" ht="22.5">
      <c r="A6" s="14" t="s">
        <v>241</v>
      </c>
      <c r="B6" s="18" t="s">
        <v>209</v>
      </c>
      <c r="C6" s="18" t="s">
        <v>210</v>
      </c>
      <c r="D6" s="18" t="s">
        <v>211</v>
      </c>
      <c r="E6" s="18" t="s">
        <v>442</v>
      </c>
      <c r="F6" s="17" t="s">
        <v>213</v>
      </c>
      <c r="G6" s="18" t="s">
        <v>443</v>
      </c>
      <c r="H6" s="18" t="s">
        <v>260</v>
      </c>
      <c r="I6" s="18" t="s">
        <v>216</v>
      </c>
      <c r="J6" s="18" t="s">
        <v>217</v>
      </c>
      <c r="K6" s="109" t="s">
        <v>444</v>
      </c>
    </row>
    <row r="7" spans="1:11" ht="13.5">
      <c r="A7" s="96" t="s">
        <v>4</v>
      </c>
      <c r="B7" s="11">
        <f aca="true" t="shared" si="0" ref="B7:K7">SUM(B8,B36)</f>
        <v>4100</v>
      </c>
      <c r="C7" s="11">
        <f t="shared" si="0"/>
        <v>4000</v>
      </c>
      <c r="D7" s="11">
        <f t="shared" si="0"/>
        <v>3200</v>
      </c>
      <c r="E7" s="97">
        <f t="shared" si="0"/>
        <v>16950</v>
      </c>
      <c r="F7" s="11">
        <f t="shared" si="0"/>
        <v>1000</v>
      </c>
      <c r="G7" s="97">
        <f t="shared" si="0"/>
        <v>385</v>
      </c>
      <c r="H7" s="98">
        <f t="shared" si="0"/>
        <v>90</v>
      </c>
      <c r="I7" s="98">
        <f t="shared" si="0"/>
        <v>200</v>
      </c>
      <c r="J7" s="98">
        <f t="shared" si="0"/>
        <v>150</v>
      </c>
      <c r="K7" s="97">
        <f t="shared" si="0"/>
        <v>17775</v>
      </c>
    </row>
    <row r="8" spans="1:11" ht="13.5">
      <c r="A8" s="96" t="s">
        <v>10</v>
      </c>
      <c r="B8" s="11">
        <f aca="true" t="shared" si="1" ref="B8:I8">SUM(B9,B31)</f>
        <v>1473</v>
      </c>
      <c r="C8" s="11">
        <f t="shared" si="1"/>
        <v>1423</v>
      </c>
      <c r="D8" s="11">
        <f t="shared" si="1"/>
        <v>1150</v>
      </c>
      <c r="E8" s="97">
        <f t="shared" si="1"/>
        <v>6069</v>
      </c>
      <c r="F8" s="11">
        <f t="shared" si="1"/>
        <v>700</v>
      </c>
      <c r="G8" s="97">
        <f t="shared" si="1"/>
        <v>269.5</v>
      </c>
      <c r="H8" s="99">
        <f t="shared" si="1"/>
        <v>90</v>
      </c>
      <c r="I8" s="99">
        <f t="shared" si="1"/>
        <v>200</v>
      </c>
      <c r="J8" s="99">
        <v>150</v>
      </c>
      <c r="K8" s="97">
        <f aca="true" t="shared" si="2" ref="K8:K59">SUM(E8,G8,H8,I8,J8)</f>
        <v>6778.5</v>
      </c>
    </row>
    <row r="9" spans="1:11" ht="13.5">
      <c r="A9" s="96" t="s">
        <v>129</v>
      </c>
      <c r="B9" s="11">
        <f aca="true" t="shared" si="3" ref="B9:G9">SUM(B11:B30)</f>
        <v>1134</v>
      </c>
      <c r="C9" s="11">
        <f t="shared" si="3"/>
        <v>1104</v>
      </c>
      <c r="D9" s="11">
        <f t="shared" si="3"/>
        <v>880</v>
      </c>
      <c r="E9" s="97">
        <f t="shared" si="3"/>
        <v>4677</v>
      </c>
      <c r="F9" s="11">
        <f t="shared" si="3"/>
        <v>700</v>
      </c>
      <c r="G9" s="97">
        <f t="shared" si="3"/>
        <v>269.5</v>
      </c>
      <c r="H9" s="99">
        <v>90</v>
      </c>
      <c r="I9" s="99">
        <v>200</v>
      </c>
      <c r="J9" s="99">
        <v>150</v>
      </c>
      <c r="K9" s="97">
        <f t="shared" si="2"/>
        <v>5386.5</v>
      </c>
    </row>
    <row r="10" spans="1:11" ht="13.5">
      <c r="A10" s="100" t="s">
        <v>11</v>
      </c>
      <c r="B10" s="11"/>
      <c r="C10" s="11"/>
      <c r="D10" s="11"/>
      <c r="E10" s="97"/>
      <c r="F10" s="11"/>
      <c r="G10" s="97"/>
      <c r="H10" s="99"/>
      <c r="I10" s="110">
        <v>200</v>
      </c>
      <c r="J10" s="110">
        <v>150</v>
      </c>
      <c r="K10" s="103">
        <f t="shared" si="2"/>
        <v>350</v>
      </c>
    </row>
    <row r="11" spans="1:11" ht="13.5">
      <c r="A11" s="100" t="s">
        <v>12</v>
      </c>
      <c r="B11" s="17">
        <v>58</v>
      </c>
      <c r="C11" s="17">
        <v>58</v>
      </c>
      <c r="D11" s="17">
        <v>50</v>
      </c>
      <c r="E11" s="101">
        <f aca="true" t="shared" si="4" ref="E11:E59">SUM(B11:D11)*1.5</f>
        <v>249</v>
      </c>
      <c r="F11" s="102">
        <v>80</v>
      </c>
      <c r="G11" s="103">
        <f aca="true" t="shared" si="5" ref="G11:G74">F11*0.385</f>
        <v>30.8</v>
      </c>
      <c r="H11" s="101"/>
      <c r="I11" s="101"/>
      <c r="J11" s="101"/>
      <c r="K11" s="103">
        <f t="shared" si="2"/>
        <v>279.8</v>
      </c>
    </row>
    <row r="12" spans="1:11" ht="13.5">
      <c r="A12" s="100" t="s">
        <v>14</v>
      </c>
      <c r="B12" s="17">
        <v>65</v>
      </c>
      <c r="C12" s="17">
        <v>65</v>
      </c>
      <c r="D12" s="17">
        <v>55</v>
      </c>
      <c r="E12" s="101">
        <f t="shared" si="4"/>
        <v>277.5</v>
      </c>
      <c r="F12" s="102"/>
      <c r="G12" s="103">
        <f t="shared" si="5"/>
        <v>0</v>
      </c>
      <c r="H12" s="101"/>
      <c r="I12" s="101"/>
      <c r="J12" s="101"/>
      <c r="K12" s="103">
        <f t="shared" si="2"/>
        <v>277.5</v>
      </c>
    </row>
    <row r="13" spans="1:11" ht="13.5">
      <c r="A13" s="100" t="s">
        <v>15</v>
      </c>
      <c r="B13" s="17">
        <v>19</v>
      </c>
      <c r="C13" s="17">
        <v>19</v>
      </c>
      <c r="D13" s="17">
        <v>15</v>
      </c>
      <c r="E13" s="101">
        <f t="shared" si="4"/>
        <v>79.5</v>
      </c>
      <c r="F13" s="102"/>
      <c r="G13" s="103">
        <f t="shared" si="5"/>
        <v>0</v>
      </c>
      <c r="H13" s="101"/>
      <c r="I13" s="101"/>
      <c r="J13" s="101"/>
      <c r="K13" s="103">
        <f t="shared" si="2"/>
        <v>79.5</v>
      </c>
    </row>
    <row r="14" spans="1:11" ht="13.5">
      <c r="A14" s="100" t="s">
        <v>16</v>
      </c>
      <c r="B14" s="17">
        <v>50</v>
      </c>
      <c r="C14" s="17">
        <v>50</v>
      </c>
      <c r="D14" s="17">
        <v>40</v>
      </c>
      <c r="E14" s="101">
        <f t="shared" si="4"/>
        <v>210</v>
      </c>
      <c r="F14" s="102">
        <v>80</v>
      </c>
      <c r="G14" s="103">
        <f t="shared" si="5"/>
        <v>30.8</v>
      </c>
      <c r="H14" s="101"/>
      <c r="I14" s="101"/>
      <c r="J14" s="101"/>
      <c r="K14" s="103">
        <f t="shared" si="2"/>
        <v>240.8</v>
      </c>
    </row>
    <row r="15" spans="1:11" ht="13.5">
      <c r="A15" s="100" t="s">
        <v>17</v>
      </c>
      <c r="B15" s="17">
        <v>47</v>
      </c>
      <c r="C15" s="17">
        <v>47</v>
      </c>
      <c r="D15" s="17">
        <v>40</v>
      </c>
      <c r="E15" s="101">
        <f t="shared" si="4"/>
        <v>201</v>
      </c>
      <c r="F15" s="102">
        <v>80</v>
      </c>
      <c r="G15" s="103">
        <f t="shared" si="5"/>
        <v>30.8</v>
      </c>
      <c r="H15" s="101"/>
      <c r="I15" s="101"/>
      <c r="J15" s="101"/>
      <c r="K15" s="103">
        <f t="shared" si="2"/>
        <v>231.8</v>
      </c>
    </row>
    <row r="16" spans="1:11" ht="13.5">
      <c r="A16" s="100" t="s">
        <v>13</v>
      </c>
      <c r="B16" s="17">
        <v>76</v>
      </c>
      <c r="C16" s="17">
        <v>76</v>
      </c>
      <c r="D16" s="17">
        <v>50</v>
      </c>
      <c r="E16" s="101">
        <f t="shared" si="4"/>
        <v>303</v>
      </c>
      <c r="F16" s="102"/>
      <c r="G16" s="103">
        <f t="shared" si="5"/>
        <v>0</v>
      </c>
      <c r="H16" s="101"/>
      <c r="I16" s="101"/>
      <c r="J16" s="101"/>
      <c r="K16" s="103">
        <f t="shared" si="2"/>
        <v>303</v>
      </c>
    </row>
    <row r="17" spans="1:11" ht="13.5">
      <c r="A17" s="100" t="s">
        <v>37</v>
      </c>
      <c r="B17" s="17"/>
      <c r="C17" s="17"/>
      <c r="D17" s="17"/>
      <c r="E17" s="101">
        <f t="shared" si="4"/>
        <v>0</v>
      </c>
      <c r="F17" s="102"/>
      <c r="G17" s="103">
        <f t="shared" si="5"/>
        <v>0</v>
      </c>
      <c r="H17" s="101">
        <v>90</v>
      </c>
      <c r="I17" s="101"/>
      <c r="J17" s="101"/>
      <c r="K17" s="103">
        <f t="shared" si="2"/>
        <v>90</v>
      </c>
    </row>
    <row r="18" spans="1:11" ht="13.5">
      <c r="A18" s="100" t="s">
        <v>18</v>
      </c>
      <c r="B18" s="17">
        <v>83</v>
      </c>
      <c r="C18" s="17">
        <v>83</v>
      </c>
      <c r="D18" s="17">
        <v>70</v>
      </c>
      <c r="E18" s="101">
        <f t="shared" si="4"/>
        <v>354</v>
      </c>
      <c r="F18" s="102">
        <v>100</v>
      </c>
      <c r="G18" s="103">
        <f t="shared" si="5"/>
        <v>38.5</v>
      </c>
      <c r="H18" s="101"/>
      <c r="I18" s="101"/>
      <c r="J18" s="101"/>
      <c r="K18" s="103">
        <f t="shared" si="2"/>
        <v>392.5</v>
      </c>
    </row>
    <row r="19" spans="1:11" ht="13.5">
      <c r="A19" s="100" t="s">
        <v>19</v>
      </c>
      <c r="B19" s="17">
        <v>202</v>
      </c>
      <c r="C19" s="17">
        <v>192</v>
      </c>
      <c r="D19" s="17">
        <v>100</v>
      </c>
      <c r="E19" s="101">
        <f t="shared" si="4"/>
        <v>741</v>
      </c>
      <c r="F19" s="102"/>
      <c r="G19" s="103">
        <f t="shared" si="5"/>
        <v>0</v>
      </c>
      <c r="H19" s="101"/>
      <c r="I19" s="101"/>
      <c r="J19" s="101"/>
      <c r="K19" s="103">
        <f t="shared" si="2"/>
        <v>741</v>
      </c>
    </row>
    <row r="20" spans="1:11" ht="13.5">
      <c r="A20" s="104" t="s">
        <v>20</v>
      </c>
      <c r="B20" s="17">
        <v>13</v>
      </c>
      <c r="C20" s="17">
        <v>13</v>
      </c>
      <c r="D20" s="17">
        <v>10</v>
      </c>
      <c r="E20" s="101">
        <f t="shared" si="4"/>
        <v>54</v>
      </c>
      <c r="F20" s="102"/>
      <c r="G20" s="103">
        <f t="shared" si="5"/>
        <v>0</v>
      </c>
      <c r="H20" s="101"/>
      <c r="I20" s="101"/>
      <c r="J20" s="101"/>
      <c r="K20" s="103">
        <f t="shared" si="2"/>
        <v>54</v>
      </c>
    </row>
    <row r="21" spans="1:11" ht="13.5">
      <c r="A21" s="100" t="s">
        <v>22</v>
      </c>
      <c r="B21" s="17">
        <v>63</v>
      </c>
      <c r="C21" s="17">
        <v>63</v>
      </c>
      <c r="D21" s="17">
        <v>50</v>
      </c>
      <c r="E21" s="101">
        <f t="shared" si="4"/>
        <v>264</v>
      </c>
      <c r="F21" s="102">
        <v>80</v>
      </c>
      <c r="G21" s="103">
        <f t="shared" si="5"/>
        <v>30.8</v>
      </c>
      <c r="H21" s="101"/>
      <c r="I21" s="101"/>
      <c r="J21" s="101"/>
      <c r="K21" s="103">
        <f t="shared" si="2"/>
        <v>294.8</v>
      </c>
    </row>
    <row r="22" spans="1:11" ht="13.5">
      <c r="A22" s="100" t="s">
        <v>23</v>
      </c>
      <c r="B22" s="17">
        <v>29</v>
      </c>
      <c r="C22" s="17">
        <v>29</v>
      </c>
      <c r="D22" s="17">
        <v>20</v>
      </c>
      <c r="E22" s="101">
        <f t="shared" si="4"/>
        <v>117</v>
      </c>
      <c r="F22" s="102">
        <v>200</v>
      </c>
      <c r="G22" s="103">
        <f t="shared" si="5"/>
        <v>77</v>
      </c>
      <c r="H22" s="101"/>
      <c r="I22" s="101"/>
      <c r="J22" s="101"/>
      <c r="K22" s="103">
        <f t="shared" si="2"/>
        <v>194</v>
      </c>
    </row>
    <row r="23" spans="1:11" ht="13.5">
      <c r="A23" s="100" t="s">
        <v>24</v>
      </c>
      <c r="B23" s="17">
        <v>51</v>
      </c>
      <c r="C23" s="17">
        <v>51</v>
      </c>
      <c r="D23" s="17">
        <v>40</v>
      </c>
      <c r="E23" s="101">
        <f t="shared" si="4"/>
        <v>213</v>
      </c>
      <c r="F23" s="102"/>
      <c r="G23" s="103">
        <f t="shared" si="5"/>
        <v>0</v>
      </c>
      <c r="H23" s="101"/>
      <c r="I23" s="101"/>
      <c r="J23" s="101"/>
      <c r="K23" s="103">
        <f t="shared" si="2"/>
        <v>213</v>
      </c>
    </row>
    <row r="24" spans="1:11" ht="13.5">
      <c r="A24" s="100" t="s">
        <v>25</v>
      </c>
      <c r="B24" s="17">
        <v>61</v>
      </c>
      <c r="C24" s="17">
        <v>61</v>
      </c>
      <c r="D24" s="17">
        <v>50</v>
      </c>
      <c r="E24" s="101">
        <f t="shared" si="4"/>
        <v>258</v>
      </c>
      <c r="F24" s="102"/>
      <c r="G24" s="103">
        <f t="shared" si="5"/>
        <v>0</v>
      </c>
      <c r="H24" s="101"/>
      <c r="I24" s="101"/>
      <c r="J24" s="101"/>
      <c r="K24" s="103">
        <f t="shared" si="2"/>
        <v>258</v>
      </c>
    </row>
    <row r="25" spans="1:11" ht="13.5">
      <c r="A25" s="104" t="s">
        <v>26</v>
      </c>
      <c r="B25" s="17">
        <v>6</v>
      </c>
      <c r="C25" s="17">
        <v>6</v>
      </c>
      <c r="D25" s="17">
        <v>30</v>
      </c>
      <c r="E25" s="101">
        <f t="shared" si="4"/>
        <v>63</v>
      </c>
      <c r="F25" s="102"/>
      <c r="G25" s="103">
        <f t="shared" si="5"/>
        <v>0</v>
      </c>
      <c r="H25" s="101"/>
      <c r="I25" s="101"/>
      <c r="J25" s="101"/>
      <c r="K25" s="103">
        <f t="shared" si="2"/>
        <v>63</v>
      </c>
    </row>
    <row r="26" spans="1:11" ht="13.5">
      <c r="A26" s="100" t="s">
        <v>27</v>
      </c>
      <c r="B26" s="17">
        <v>21</v>
      </c>
      <c r="C26" s="17">
        <v>21</v>
      </c>
      <c r="D26" s="17">
        <v>30</v>
      </c>
      <c r="E26" s="101">
        <f t="shared" si="4"/>
        <v>108</v>
      </c>
      <c r="F26" s="102"/>
      <c r="G26" s="103">
        <f t="shared" si="5"/>
        <v>0</v>
      </c>
      <c r="H26" s="101"/>
      <c r="I26" s="101"/>
      <c r="J26" s="101"/>
      <c r="K26" s="103">
        <f t="shared" si="2"/>
        <v>108</v>
      </c>
    </row>
    <row r="27" spans="1:11" ht="13.5">
      <c r="A27" s="100" t="s">
        <v>28</v>
      </c>
      <c r="B27" s="17">
        <v>33</v>
      </c>
      <c r="C27" s="17">
        <v>33</v>
      </c>
      <c r="D27" s="17">
        <v>30</v>
      </c>
      <c r="E27" s="101">
        <f t="shared" si="4"/>
        <v>144</v>
      </c>
      <c r="F27" s="102"/>
      <c r="G27" s="103">
        <f t="shared" si="5"/>
        <v>0</v>
      </c>
      <c r="H27" s="101"/>
      <c r="I27" s="101"/>
      <c r="J27" s="101"/>
      <c r="K27" s="103">
        <f t="shared" si="2"/>
        <v>144</v>
      </c>
    </row>
    <row r="28" spans="1:11" ht="13.5">
      <c r="A28" s="100" t="s">
        <v>29</v>
      </c>
      <c r="B28" s="17">
        <v>90</v>
      </c>
      <c r="C28" s="17">
        <v>90</v>
      </c>
      <c r="D28" s="17">
        <v>70</v>
      </c>
      <c r="E28" s="101">
        <f t="shared" si="4"/>
        <v>375</v>
      </c>
      <c r="F28" s="102"/>
      <c r="G28" s="103">
        <f t="shared" si="5"/>
        <v>0</v>
      </c>
      <c r="H28" s="101"/>
      <c r="I28" s="101"/>
      <c r="J28" s="101"/>
      <c r="K28" s="103">
        <f t="shared" si="2"/>
        <v>375</v>
      </c>
    </row>
    <row r="29" spans="1:11" ht="13.5">
      <c r="A29" s="100" t="s">
        <v>30</v>
      </c>
      <c r="B29" s="17">
        <v>75</v>
      </c>
      <c r="C29" s="17">
        <v>65</v>
      </c>
      <c r="D29" s="17">
        <v>60</v>
      </c>
      <c r="E29" s="101">
        <f t="shared" si="4"/>
        <v>300</v>
      </c>
      <c r="F29" s="102">
        <v>80</v>
      </c>
      <c r="G29" s="103">
        <f t="shared" si="5"/>
        <v>30.8</v>
      </c>
      <c r="H29" s="101"/>
      <c r="I29" s="101"/>
      <c r="J29" s="101"/>
      <c r="K29" s="103">
        <f t="shared" si="2"/>
        <v>330.8</v>
      </c>
    </row>
    <row r="30" spans="1:11" ht="13.5">
      <c r="A30" s="100" t="s">
        <v>31</v>
      </c>
      <c r="B30" s="17">
        <v>92</v>
      </c>
      <c r="C30" s="17">
        <v>82</v>
      </c>
      <c r="D30" s="17">
        <v>70</v>
      </c>
      <c r="E30" s="101">
        <f t="shared" si="4"/>
        <v>366</v>
      </c>
      <c r="F30" s="102"/>
      <c r="G30" s="103">
        <f t="shared" si="5"/>
        <v>0</v>
      </c>
      <c r="H30" s="101"/>
      <c r="I30" s="101"/>
      <c r="J30" s="101"/>
      <c r="K30" s="103">
        <f t="shared" si="2"/>
        <v>366</v>
      </c>
    </row>
    <row r="31" spans="1:11" ht="13.5">
      <c r="A31" s="105" t="s">
        <v>131</v>
      </c>
      <c r="B31" s="11">
        <f>SUM(B32:B35)</f>
        <v>339</v>
      </c>
      <c r="C31" s="11">
        <f>SUM(C32:C35)</f>
        <v>319</v>
      </c>
      <c r="D31" s="11">
        <f>SUM(D32:D35)</f>
        <v>270</v>
      </c>
      <c r="E31" s="106">
        <f t="shared" si="4"/>
        <v>1392</v>
      </c>
      <c r="F31" s="11">
        <f>SUM(F32:F35)</f>
        <v>0</v>
      </c>
      <c r="G31" s="97">
        <f t="shared" si="5"/>
        <v>0</v>
      </c>
      <c r="H31" s="99"/>
      <c r="I31" s="99"/>
      <c r="J31" s="99"/>
      <c r="K31" s="97">
        <f t="shared" si="2"/>
        <v>1392</v>
      </c>
    </row>
    <row r="32" spans="1:11" ht="13.5">
      <c r="A32" s="100" t="s">
        <v>32</v>
      </c>
      <c r="B32" s="17">
        <v>39</v>
      </c>
      <c r="C32" s="17">
        <v>39</v>
      </c>
      <c r="D32" s="17">
        <v>30</v>
      </c>
      <c r="E32" s="101">
        <f t="shared" si="4"/>
        <v>162</v>
      </c>
      <c r="F32" s="102"/>
      <c r="G32" s="103">
        <f t="shared" si="5"/>
        <v>0</v>
      </c>
      <c r="H32" s="101"/>
      <c r="I32" s="101"/>
      <c r="J32" s="101"/>
      <c r="K32" s="103">
        <f t="shared" si="2"/>
        <v>162</v>
      </c>
    </row>
    <row r="33" spans="1:11" ht="13.5">
      <c r="A33" s="100" t="s">
        <v>33</v>
      </c>
      <c r="B33" s="17">
        <v>126</v>
      </c>
      <c r="C33" s="17">
        <v>116</v>
      </c>
      <c r="D33" s="17">
        <v>100</v>
      </c>
      <c r="E33" s="101">
        <f t="shared" si="4"/>
        <v>513</v>
      </c>
      <c r="F33" s="102"/>
      <c r="G33" s="103">
        <f t="shared" si="5"/>
        <v>0</v>
      </c>
      <c r="H33" s="101"/>
      <c r="I33" s="101"/>
      <c r="J33" s="101"/>
      <c r="K33" s="103">
        <f t="shared" si="2"/>
        <v>513</v>
      </c>
    </row>
    <row r="34" spans="1:11" ht="13.5">
      <c r="A34" s="100" t="s">
        <v>34</v>
      </c>
      <c r="B34" s="17">
        <v>142</v>
      </c>
      <c r="C34" s="17">
        <v>132</v>
      </c>
      <c r="D34" s="17">
        <v>120</v>
      </c>
      <c r="E34" s="101">
        <f t="shared" si="4"/>
        <v>591</v>
      </c>
      <c r="F34" s="102"/>
      <c r="G34" s="103">
        <f t="shared" si="5"/>
        <v>0</v>
      </c>
      <c r="H34" s="101"/>
      <c r="I34" s="101"/>
      <c r="J34" s="101"/>
      <c r="K34" s="103">
        <f t="shared" si="2"/>
        <v>591</v>
      </c>
    </row>
    <row r="35" spans="1:11" ht="13.5">
      <c r="A35" s="100" t="s">
        <v>35</v>
      </c>
      <c r="B35" s="17">
        <v>32</v>
      </c>
      <c r="C35" s="17">
        <v>32</v>
      </c>
      <c r="D35" s="17">
        <v>20</v>
      </c>
      <c r="E35" s="101">
        <f t="shared" si="4"/>
        <v>126</v>
      </c>
      <c r="F35" s="102"/>
      <c r="G35" s="103">
        <f t="shared" si="5"/>
        <v>0</v>
      </c>
      <c r="H35" s="101"/>
      <c r="I35" s="101"/>
      <c r="J35" s="101"/>
      <c r="K35" s="103">
        <f t="shared" si="2"/>
        <v>126</v>
      </c>
    </row>
    <row r="36" spans="1:11" ht="13.5">
      <c r="A36" s="96" t="s">
        <v>42</v>
      </c>
      <c r="B36" s="11">
        <f>SUM(B37:B91)/2</f>
        <v>2627</v>
      </c>
      <c r="C36" s="11">
        <f>SUM(C37:C91)/2</f>
        <v>2577</v>
      </c>
      <c r="D36" s="11">
        <f>SUM(D37:D91)/2</f>
        <v>2050</v>
      </c>
      <c r="E36" s="106">
        <f t="shared" si="4"/>
        <v>10881</v>
      </c>
      <c r="F36" s="11">
        <v>300</v>
      </c>
      <c r="G36" s="97">
        <f t="shared" si="5"/>
        <v>115.5</v>
      </c>
      <c r="H36" s="99"/>
      <c r="I36" s="99"/>
      <c r="J36" s="99"/>
      <c r="K36" s="97">
        <f t="shared" si="2"/>
        <v>10996.5</v>
      </c>
    </row>
    <row r="37" spans="1:11" ht="13.5">
      <c r="A37" s="105" t="s">
        <v>43</v>
      </c>
      <c r="B37" s="11">
        <f>SUM(B38:B46)</f>
        <v>799</v>
      </c>
      <c r="C37" s="11">
        <f>SUM(C38:C46)</f>
        <v>769</v>
      </c>
      <c r="D37" s="11">
        <f>SUM(D38:D46)</f>
        <v>620</v>
      </c>
      <c r="E37" s="106">
        <f t="shared" si="4"/>
        <v>3282</v>
      </c>
      <c r="F37" s="11">
        <v>100</v>
      </c>
      <c r="G37" s="97">
        <f t="shared" si="5"/>
        <v>38.5</v>
      </c>
      <c r="H37" s="99"/>
      <c r="I37" s="99"/>
      <c r="J37" s="99"/>
      <c r="K37" s="97">
        <f t="shared" si="2"/>
        <v>3320.5</v>
      </c>
    </row>
    <row r="38" spans="1:11" ht="13.5">
      <c r="A38" s="107" t="s">
        <v>445</v>
      </c>
      <c r="B38" s="17">
        <v>39</v>
      </c>
      <c r="C38" s="17">
        <v>39</v>
      </c>
      <c r="D38" s="17">
        <v>30</v>
      </c>
      <c r="E38" s="101">
        <f t="shared" si="4"/>
        <v>162</v>
      </c>
      <c r="F38" s="102"/>
      <c r="G38" s="103">
        <f t="shared" si="5"/>
        <v>0</v>
      </c>
      <c r="H38" s="101"/>
      <c r="I38" s="101"/>
      <c r="J38" s="101"/>
      <c r="K38" s="103">
        <f t="shared" si="2"/>
        <v>162</v>
      </c>
    </row>
    <row r="39" spans="1:11" ht="13.5">
      <c r="A39" s="100" t="s">
        <v>134</v>
      </c>
      <c r="B39" s="17">
        <v>125</v>
      </c>
      <c r="C39" s="17">
        <v>115</v>
      </c>
      <c r="D39" s="17">
        <v>100</v>
      </c>
      <c r="E39" s="101">
        <f t="shared" si="4"/>
        <v>510</v>
      </c>
      <c r="F39" s="102"/>
      <c r="G39" s="103">
        <f t="shared" si="5"/>
        <v>0</v>
      </c>
      <c r="H39" s="101"/>
      <c r="I39" s="101"/>
      <c r="J39" s="101"/>
      <c r="K39" s="103">
        <f t="shared" si="2"/>
        <v>510</v>
      </c>
    </row>
    <row r="40" spans="1:11" ht="13.5">
      <c r="A40" s="100" t="s">
        <v>135</v>
      </c>
      <c r="B40" s="17">
        <v>56</v>
      </c>
      <c r="C40" s="17">
        <v>56</v>
      </c>
      <c r="D40" s="17">
        <v>50</v>
      </c>
      <c r="E40" s="101">
        <f t="shared" si="4"/>
        <v>243</v>
      </c>
      <c r="F40" s="102"/>
      <c r="G40" s="103">
        <f t="shared" si="5"/>
        <v>0</v>
      </c>
      <c r="H40" s="101"/>
      <c r="I40" s="101"/>
      <c r="J40" s="101"/>
      <c r="K40" s="103">
        <f t="shared" si="2"/>
        <v>243</v>
      </c>
    </row>
    <row r="41" spans="1:11" ht="13.5">
      <c r="A41" s="100" t="s">
        <v>136</v>
      </c>
      <c r="B41" s="17">
        <v>116</v>
      </c>
      <c r="C41" s="17">
        <v>106</v>
      </c>
      <c r="D41" s="17">
        <v>90</v>
      </c>
      <c r="E41" s="101">
        <f t="shared" si="4"/>
        <v>468</v>
      </c>
      <c r="F41" s="102"/>
      <c r="G41" s="103">
        <f t="shared" si="5"/>
        <v>0</v>
      </c>
      <c r="H41" s="101"/>
      <c r="I41" s="101"/>
      <c r="J41" s="101"/>
      <c r="K41" s="103">
        <f t="shared" si="2"/>
        <v>468</v>
      </c>
    </row>
    <row r="42" spans="1:11" ht="13.5">
      <c r="A42" s="100" t="s">
        <v>137</v>
      </c>
      <c r="B42" s="17">
        <v>103</v>
      </c>
      <c r="C42" s="17">
        <v>103</v>
      </c>
      <c r="D42" s="17">
        <v>90</v>
      </c>
      <c r="E42" s="101">
        <f t="shared" si="4"/>
        <v>444</v>
      </c>
      <c r="F42" s="102"/>
      <c r="G42" s="103">
        <f t="shared" si="5"/>
        <v>0</v>
      </c>
      <c r="H42" s="101"/>
      <c r="I42" s="101"/>
      <c r="J42" s="101"/>
      <c r="K42" s="103">
        <f t="shared" si="2"/>
        <v>444</v>
      </c>
    </row>
    <row r="43" spans="1:11" ht="13.5">
      <c r="A43" s="100" t="s">
        <v>138</v>
      </c>
      <c r="B43" s="17">
        <v>177</v>
      </c>
      <c r="C43" s="17">
        <v>167</v>
      </c>
      <c r="D43" s="17">
        <v>130</v>
      </c>
      <c r="E43" s="101">
        <f t="shared" si="4"/>
        <v>711</v>
      </c>
      <c r="F43" s="102"/>
      <c r="G43" s="103">
        <f t="shared" si="5"/>
        <v>0</v>
      </c>
      <c r="H43" s="101"/>
      <c r="I43" s="101"/>
      <c r="J43" s="101"/>
      <c r="K43" s="103">
        <f t="shared" si="2"/>
        <v>711</v>
      </c>
    </row>
    <row r="44" spans="1:11" ht="13.5">
      <c r="A44" s="100" t="s">
        <v>139</v>
      </c>
      <c r="B44" s="17">
        <v>98</v>
      </c>
      <c r="C44" s="17">
        <v>98</v>
      </c>
      <c r="D44" s="17">
        <v>70</v>
      </c>
      <c r="E44" s="101">
        <f t="shared" si="4"/>
        <v>399</v>
      </c>
      <c r="F44" s="102"/>
      <c r="G44" s="103">
        <f t="shared" si="5"/>
        <v>0</v>
      </c>
      <c r="H44" s="101"/>
      <c r="I44" s="101"/>
      <c r="J44" s="101"/>
      <c r="K44" s="103">
        <f t="shared" si="2"/>
        <v>399</v>
      </c>
    </row>
    <row r="45" spans="1:11" ht="13.5">
      <c r="A45" s="100" t="s">
        <v>140</v>
      </c>
      <c r="B45" s="17">
        <v>34</v>
      </c>
      <c r="C45" s="17">
        <v>34</v>
      </c>
      <c r="D45" s="17">
        <v>30</v>
      </c>
      <c r="E45" s="101">
        <f t="shared" si="4"/>
        <v>147</v>
      </c>
      <c r="F45" s="102"/>
      <c r="G45" s="103">
        <f t="shared" si="5"/>
        <v>0</v>
      </c>
      <c r="H45" s="101"/>
      <c r="I45" s="101"/>
      <c r="J45" s="101"/>
      <c r="K45" s="103">
        <f t="shared" si="2"/>
        <v>147</v>
      </c>
    </row>
    <row r="46" spans="1:11" ht="13.5">
      <c r="A46" s="100" t="s">
        <v>142</v>
      </c>
      <c r="B46" s="17">
        <v>51</v>
      </c>
      <c r="C46" s="17">
        <v>51</v>
      </c>
      <c r="D46" s="17">
        <v>30</v>
      </c>
      <c r="E46" s="101">
        <f t="shared" si="4"/>
        <v>198</v>
      </c>
      <c r="F46" s="102"/>
      <c r="G46" s="103">
        <f t="shared" si="5"/>
        <v>0</v>
      </c>
      <c r="H46" s="101"/>
      <c r="I46" s="101"/>
      <c r="J46" s="101"/>
      <c r="K46" s="103">
        <f t="shared" si="2"/>
        <v>198</v>
      </c>
    </row>
    <row r="47" spans="1:11" ht="13.5">
      <c r="A47" s="105" t="s">
        <v>44</v>
      </c>
      <c r="B47" s="11">
        <f>SUM(B48:B54)</f>
        <v>713</v>
      </c>
      <c r="C47" s="11">
        <f>SUM(C48:C54)</f>
        <v>693</v>
      </c>
      <c r="D47" s="11">
        <f>SUM(D48:D54)</f>
        <v>560</v>
      </c>
      <c r="E47" s="106">
        <f t="shared" si="4"/>
        <v>2949</v>
      </c>
      <c r="F47" s="11">
        <v>200</v>
      </c>
      <c r="G47" s="97">
        <f t="shared" si="5"/>
        <v>77</v>
      </c>
      <c r="H47" s="99"/>
      <c r="I47" s="99"/>
      <c r="J47" s="99"/>
      <c r="K47" s="97">
        <f t="shared" si="2"/>
        <v>3026</v>
      </c>
    </row>
    <row r="48" spans="1:11" ht="13.5">
      <c r="A48" s="100" t="s">
        <v>144</v>
      </c>
      <c r="B48" s="17">
        <v>147</v>
      </c>
      <c r="C48" s="17">
        <v>137</v>
      </c>
      <c r="D48" s="17">
        <v>120</v>
      </c>
      <c r="E48" s="101">
        <f t="shared" si="4"/>
        <v>606</v>
      </c>
      <c r="F48" s="102"/>
      <c r="G48" s="103">
        <f t="shared" si="5"/>
        <v>0</v>
      </c>
      <c r="H48" s="101"/>
      <c r="I48" s="101"/>
      <c r="J48" s="101"/>
      <c r="K48" s="103">
        <f t="shared" si="2"/>
        <v>606</v>
      </c>
    </row>
    <row r="49" spans="1:11" ht="13.5">
      <c r="A49" s="100" t="s">
        <v>145</v>
      </c>
      <c r="B49" s="17">
        <v>139</v>
      </c>
      <c r="C49" s="17">
        <v>129</v>
      </c>
      <c r="D49" s="17">
        <v>110</v>
      </c>
      <c r="E49" s="101">
        <f t="shared" si="4"/>
        <v>567</v>
      </c>
      <c r="F49" s="102"/>
      <c r="G49" s="103">
        <f t="shared" si="5"/>
        <v>0</v>
      </c>
      <c r="H49" s="101"/>
      <c r="I49" s="101"/>
      <c r="J49" s="101"/>
      <c r="K49" s="103">
        <f t="shared" si="2"/>
        <v>567</v>
      </c>
    </row>
    <row r="50" spans="1:11" ht="13.5">
      <c r="A50" s="100" t="s">
        <v>146</v>
      </c>
      <c r="B50" s="17">
        <v>95</v>
      </c>
      <c r="C50" s="17">
        <v>95</v>
      </c>
      <c r="D50" s="17">
        <v>80</v>
      </c>
      <c r="E50" s="101">
        <f t="shared" si="4"/>
        <v>405</v>
      </c>
      <c r="F50" s="102"/>
      <c r="G50" s="103">
        <f t="shared" si="5"/>
        <v>0</v>
      </c>
      <c r="H50" s="101"/>
      <c r="I50" s="101"/>
      <c r="J50" s="101"/>
      <c r="K50" s="103">
        <f t="shared" si="2"/>
        <v>405</v>
      </c>
    </row>
    <row r="51" spans="1:11" ht="27">
      <c r="A51" s="107" t="s">
        <v>446</v>
      </c>
      <c r="B51" s="17">
        <v>92</v>
      </c>
      <c r="C51" s="17">
        <v>92</v>
      </c>
      <c r="D51" s="17">
        <v>60</v>
      </c>
      <c r="E51" s="101">
        <f t="shared" si="4"/>
        <v>366</v>
      </c>
      <c r="F51" s="102"/>
      <c r="G51" s="103">
        <f t="shared" si="5"/>
        <v>0</v>
      </c>
      <c r="H51" s="101"/>
      <c r="I51" s="101"/>
      <c r="J51" s="101"/>
      <c r="K51" s="103">
        <f t="shared" si="2"/>
        <v>366</v>
      </c>
    </row>
    <row r="52" spans="1:11" ht="13.5">
      <c r="A52" s="100" t="s">
        <v>148</v>
      </c>
      <c r="B52" s="17">
        <v>25</v>
      </c>
      <c r="C52" s="17">
        <v>25</v>
      </c>
      <c r="D52" s="17">
        <v>20</v>
      </c>
      <c r="E52" s="101">
        <f t="shared" si="4"/>
        <v>105</v>
      </c>
      <c r="F52" s="102"/>
      <c r="G52" s="103">
        <f t="shared" si="5"/>
        <v>0</v>
      </c>
      <c r="H52" s="101"/>
      <c r="I52" s="101"/>
      <c r="J52" s="101"/>
      <c r="K52" s="103">
        <f t="shared" si="2"/>
        <v>105</v>
      </c>
    </row>
    <row r="53" spans="1:11" ht="13.5">
      <c r="A53" s="100" t="s">
        <v>149</v>
      </c>
      <c r="B53" s="17">
        <v>97</v>
      </c>
      <c r="C53" s="17">
        <v>97</v>
      </c>
      <c r="D53" s="17">
        <v>70</v>
      </c>
      <c r="E53" s="101">
        <f t="shared" si="4"/>
        <v>396</v>
      </c>
      <c r="F53" s="102"/>
      <c r="G53" s="103">
        <f t="shared" si="5"/>
        <v>0</v>
      </c>
      <c r="H53" s="101"/>
      <c r="I53" s="101"/>
      <c r="J53" s="101"/>
      <c r="K53" s="103">
        <f t="shared" si="2"/>
        <v>396</v>
      </c>
    </row>
    <row r="54" spans="1:11" ht="13.5">
      <c r="A54" s="100" t="s">
        <v>155</v>
      </c>
      <c r="B54" s="17">
        <v>118</v>
      </c>
      <c r="C54" s="17">
        <v>118</v>
      </c>
      <c r="D54" s="17">
        <v>100</v>
      </c>
      <c r="E54" s="101">
        <f t="shared" si="4"/>
        <v>504</v>
      </c>
      <c r="F54" s="102"/>
      <c r="G54" s="103">
        <f t="shared" si="5"/>
        <v>0</v>
      </c>
      <c r="H54" s="101"/>
      <c r="I54" s="101"/>
      <c r="J54" s="101"/>
      <c r="K54" s="103">
        <f t="shared" si="2"/>
        <v>504</v>
      </c>
    </row>
    <row r="55" spans="1:11" ht="13.5">
      <c r="A55" s="105" t="s">
        <v>45</v>
      </c>
      <c r="B55" s="11">
        <f>B56+B57</f>
        <v>170</v>
      </c>
      <c r="C55" s="11">
        <f>C56+C57</f>
        <v>170</v>
      </c>
      <c r="D55" s="11">
        <f>D56+D57</f>
        <v>130</v>
      </c>
      <c r="E55" s="106">
        <f t="shared" si="4"/>
        <v>705</v>
      </c>
      <c r="F55" s="11">
        <f>F56+F57</f>
        <v>0</v>
      </c>
      <c r="G55" s="97">
        <f t="shared" si="5"/>
        <v>0</v>
      </c>
      <c r="H55" s="99"/>
      <c r="I55" s="99"/>
      <c r="J55" s="99"/>
      <c r="K55" s="97">
        <f t="shared" si="2"/>
        <v>705</v>
      </c>
    </row>
    <row r="56" spans="1:11" ht="13.5">
      <c r="A56" s="100" t="s">
        <v>156</v>
      </c>
      <c r="B56" s="17">
        <v>111</v>
      </c>
      <c r="C56" s="17">
        <v>111</v>
      </c>
      <c r="D56" s="17">
        <v>90</v>
      </c>
      <c r="E56" s="101">
        <f t="shared" si="4"/>
        <v>468</v>
      </c>
      <c r="F56" s="102"/>
      <c r="G56" s="103">
        <f t="shared" si="5"/>
        <v>0</v>
      </c>
      <c r="H56" s="101"/>
      <c r="I56" s="101"/>
      <c r="J56" s="101"/>
      <c r="K56" s="103">
        <f t="shared" si="2"/>
        <v>468</v>
      </c>
    </row>
    <row r="57" spans="1:11" ht="13.5">
      <c r="A57" s="100" t="s">
        <v>157</v>
      </c>
      <c r="B57" s="17">
        <v>59</v>
      </c>
      <c r="C57" s="17">
        <v>59</v>
      </c>
      <c r="D57" s="17">
        <v>40</v>
      </c>
      <c r="E57" s="101">
        <f t="shared" si="4"/>
        <v>237</v>
      </c>
      <c r="F57" s="102"/>
      <c r="G57" s="103">
        <f t="shared" si="5"/>
        <v>0</v>
      </c>
      <c r="H57" s="101"/>
      <c r="I57" s="101"/>
      <c r="J57" s="101"/>
      <c r="K57" s="103">
        <f t="shared" si="2"/>
        <v>237</v>
      </c>
    </row>
    <row r="58" spans="1:11" ht="13.5">
      <c r="A58" s="105" t="s">
        <v>46</v>
      </c>
      <c r="B58" s="11">
        <f>B59</f>
        <v>22</v>
      </c>
      <c r="C58" s="11">
        <f>C59</f>
        <v>22</v>
      </c>
      <c r="D58" s="11">
        <f>D59</f>
        <v>40</v>
      </c>
      <c r="E58" s="106">
        <f t="shared" si="4"/>
        <v>126</v>
      </c>
      <c r="F58" s="11">
        <f>F59</f>
        <v>0</v>
      </c>
      <c r="G58" s="97">
        <f t="shared" si="5"/>
        <v>0</v>
      </c>
      <c r="H58" s="99"/>
      <c r="I58" s="99"/>
      <c r="J58" s="99"/>
      <c r="K58" s="97">
        <f t="shared" si="2"/>
        <v>126</v>
      </c>
    </row>
    <row r="59" spans="1:11" ht="13.5">
      <c r="A59" s="100" t="s">
        <v>158</v>
      </c>
      <c r="B59" s="17">
        <v>22</v>
      </c>
      <c r="C59" s="17">
        <v>22</v>
      </c>
      <c r="D59" s="17">
        <v>40</v>
      </c>
      <c r="E59" s="101">
        <f t="shared" si="4"/>
        <v>126</v>
      </c>
      <c r="F59" s="102"/>
      <c r="G59" s="103">
        <f t="shared" si="5"/>
        <v>0</v>
      </c>
      <c r="H59" s="101"/>
      <c r="I59" s="101"/>
      <c r="J59" s="101"/>
      <c r="K59" s="103">
        <f t="shared" si="2"/>
        <v>126</v>
      </c>
    </row>
    <row r="60" spans="1:11" ht="13.5">
      <c r="A60" s="105" t="s">
        <v>47</v>
      </c>
      <c r="B60" s="11">
        <f>SUM(B61:B63)</f>
        <v>217</v>
      </c>
      <c r="C60" s="11">
        <f>SUM(C61:C63)</f>
        <v>217</v>
      </c>
      <c r="D60" s="11">
        <f>SUM(D61:D63)</f>
        <v>160</v>
      </c>
      <c r="E60" s="97">
        <f>SUM(E61:E63)</f>
        <v>891</v>
      </c>
      <c r="F60" s="11">
        <f>SUM(F61:F63)</f>
        <v>0</v>
      </c>
      <c r="G60" s="103">
        <f t="shared" si="5"/>
        <v>0</v>
      </c>
      <c r="H60" s="99"/>
      <c r="I60" s="99"/>
      <c r="J60" s="99"/>
      <c r="K60" s="97">
        <f>SUM(K61:K63)</f>
        <v>891</v>
      </c>
    </row>
    <row r="61" spans="1:11" ht="13.5">
      <c r="A61" s="100" t="s">
        <v>160</v>
      </c>
      <c r="B61" s="17">
        <v>108</v>
      </c>
      <c r="C61" s="17">
        <v>108</v>
      </c>
      <c r="D61" s="17">
        <v>90</v>
      </c>
      <c r="E61" s="101">
        <f aca="true" t="shared" si="6" ref="E61:E91">SUM(B61:D61)*1.5</f>
        <v>459</v>
      </c>
      <c r="F61" s="102"/>
      <c r="G61" s="103">
        <f t="shared" si="5"/>
        <v>0</v>
      </c>
      <c r="H61" s="101"/>
      <c r="I61" s="101"/>
      <c r="J61" s="101"/>
      <c r="K61" s="103">
        <f aca="true" t="shared" si="7" ref="K61:K91">SUM(E61,G61,H61,I61,J61)</f>
        <v>459</v>
      </c>
    </row>
    <row r="62" spans="1:11" ht="13.5">
      <c r="A62" s="100" t="s">
        <v>165</v>
      </c>
      <c r="B62" s="17">
        <v>56</v>
      </c>
      <c r="C62" s="17">
        <v>56</v>
      </c>
      <c r="D62" s="17">
        <v>40</v>
      </c>
      <c r="E62" s="101">
        <f t="shared" si="6"/>
        <v>228</v>
      </c>
      <c r="F62" s="102"/>
      <c r="G62" s="103">
        <f t="shared" si="5"/>
        <v>0</v>
      </c>
      <c r="H62" s="101"/>
      <c r="I62" s="101"/>
      <c r="J62" s="101"/>
      <c r="K62" s="103">
        <f t="shared" si="7"/>
        <v>228</v>
      </c>
    </row>
    <row r="63" spans="1:11" ht="13.5">
      <c r="A63" s="107" t="s">
        <v>447</v>
      </c>
      <c r="B63" s="17">
        <v>53</v>
      </c>
      <c r="C63" s="17">
        <v>53</v>
      </c>
      <c r="D63" s="17">
        <v>30</v>
      </c>
      <c r="E63" s="101">
        <f t="shared" si="6"/>
        <v>204</v>
      </c>
      <c r="F63" s="102"/>
      <c r="G63" s="103">
        <f t="shared" si="5"/>
        <v>0</v>
      </c>
      <c r="H63" s="101"/>
      <c r="I63" s="101"/>
      <c r="J63" s="101"/>
      <c r="K63" s="103">
        <f t="shared" si="7"/>
        <v>204</v>
      </c>
    </row>
    <row r="64" spans="1:11" ht="13.5">
      <c r="A64" s="105" t="s">
        <v>48</v>
      </c>
      <c r="B64" s="11">
        <f>B65</f>
        <v>38</v>
      </c>
      <c r="C64" s="11">
        <f>C65</f>
        <v>38</v>
      </c>
      <c r="D64" s="11">
        <f>D65</f>
        <v>30</v>
      </c>
      <c r="E64" s="106">
        <f t="shared" si="6"/>
        <v>159</v>
      </c>
      <c r="F64" s="11">
        <f>F65</f>
        <v>0</v>
      </c>
      <c r="G64" s="97">
        <f t="shared" si="5"/>
        <v>0</v>
      </c>
      <c r="H64" s="99"/>
      <c r="I64" s="99"/>
      <c r="J64" s="99"/>
      <c r="K64" s="97">
        <f t="shared" si="7"/>
        <v>159</v>
      </c>
    </row>
    <row r="65" spans="1:11" ht="13.5">
      <c r="A65" s="100" t="s">
        <v>166</v>
      </c>
      <c r="B65" s="17">
        <v>38</v>
      </c>
      <c r="C65" s="17">
        <v>38</v>
      </c>
      <c r="D65" s="17">
        <v>30</v>
      </c>
      <c r="E65" s="101">
        <f t="shared" si="6"/>
        <v>159</v>
      </c>
      <c r="F65" s="102"/>
      <c r="G65" s="103">
        <f t="shared" si="5"/>
        <v>0</v>
      </c>
      <c r="H65" s="101"/>
      <c r="I65" s="101"/>
      <c r="J65" s="101"/>
      <c r="K65" s="103">
        <f t="shared" si="7"/>
        <v>159</v>
      </c>
    </row>
    <row r="66" spans="1:11" ht="13.5">
      <c r="A66" s="105" t="s">
        <v>50</v>
      </c>
      <c r="B66" s="11">
        <f>B67</f>
        <v>40</v>
      </c>
      <c r="C66" s="11">
        <f>C67</f>
        <v>40</v>
      </c>
      <c r="D66" s="11">
        <f>D67</f>
        <v>30</v>
      </c>
      <c r="E66" s="106">
        <f t="shared" si="6"/>
        <v>165</v>
      </c>
      <c r="F66" s="11">
        <f>F67</f>
        <v>0</v>
      </c>
      <c r="G66" s="97">
        <f t="shared" si="5"/>
        <v>0</v>
      </c>
      <c r="H66" s="99"/>
      <c r="I66" s="99"/>
      <c r="J66" s="99"/>
      <c r="K66" s="97">
        <f t="shared" si="7"/>
        <v>165</v>
      </c>
    </row>
    <row r="67" spans="1:11" ht="13.5">
      <c r="A67" s="100" t="s">
        <v>168</v>
      </c>
      <c r="B67" s="17">
        <v>40</v>
      </c>
      <c r="C67" s="17">
        <v>40</v>
      </c>
      <c r="D67" s="17">
        <v>30</v>
      </c>
      <c r="E67" s="101">
        <f t="shared" si="6"/>
        <v>165</v>
      </c>
      <c r="F67" s="102"/>
      <c r="G67" s="103">
        <f t="shared" si="5"/>
        <v>0</v>
      </c>
      <c r="H67" s="101"/>
      <c r="I67" s="101"/>
      <c r="J67" s="101"/>
      <c r="K67" s="103">
        <f t="shared" si="7"/>
        <v>165</v>
      </c>
    </row>
    <row r="68" spans="1:11" ht="13.5">
      <c r="A68" s="105" t="s">
        <v>51</v>
      </c>
      <c r="B68" s="11">
        <f>B69</f>
        <v>17</v>
      </c>
      <c r="C68" s="11">
        <f>C69</f>
        <v>17</v>
      </c>
      <c r="D68" s="11">
        <f>D69</f>
        <v>10</v>
      </c>
      <c r="E68" s="106">
        <f t="shared" si="6"/>
        <v>66</v>
      </c>
      <c r="F68" s="11">
        <f>F69</f>
        <v>0</v>
      </c>
      <c r="G68" s="97">
        <f t="shared" si="5"/>
        <v>0</v>
      </c>
      <c r="H68" s="99"/>
      <c r="I68" s="99"/>
      <c r="J68" s="99"/>
      <c r="K68" s="97">
        <f t="shared" si="7"/>
        <v>66</v>
      </c>
    </row>
    <row r="69" spans="1:11" ht="13.5">
      <c r="A69" s="100" t="s">
        <v>169</v>
      </c>
      <c r="B69" s="17">
        <v>17</v>
      </c>
      <c r="C69" s="17">
        <v>17</v>
      </c>
      <c r="D69" s="17">
        <v>10</v>
      </c>
      <c r="E69" s="101">
        <f t="shared" si="6"/>
        <v>66</v>
      </c>
      <c r="F69" s="102"/>
      <c r="G69" s="103">
        <f t="shared" si="5"/>
        <v>0</v>
      </c>
      <c r="H69" s="101"/>
      <c r="I69" s="101"/>
      <c r="J69" s="101"/>
      <c r="K69" s="103">
        <f t="shared" si="7"/>
        <v>66</v>
      </c>
    </row>
    <row r="70" spans="1:11" ht="13.5">
      <c r="A70" s="105" t="s">
        <v>53</v>
      </c>
      <c r="B70" s="11">
        <f>SUM(B71:B73)</f>
        <v>187</v>
      </c>
      <c r="C70" s="11">
        <f>SUM(C71:C73)</f>
        <v>187</v>
      </c>
      <c r="D70" s="11">
        <f>SUM(D71:D73)</f>
        <v>150</v>
      </c>
      <c r="E70" s="106">
        <f t="shared" si="6"/>
        <v>786</v>
      </c>
      <c r="F70" s="11">
        <f>SUM(F71:F73)</f>
        <v>0</v>
      </c>
      <c r="G70" s="97">
        <f t="shared" si="5"/>
        <v>0</v>
      </c>
      <c r="H70" s="99"/>
      <c r="I70" s="99"/>
      <c r="J70" s="99"/>
      <c r="K70" s="97">
        <f t="shared" si="7"/>
        <v>786</v>
      </c>
    </row>
    <row r="71" spans="1:11" ht="13.5">
      <c r="A71" s="100" t="s">
        <v>171</v>
      </c>
      <c r="B71" s="17">
        <v>85</v>
      </c>
      <c r="C71" s="17">
        <v>85</v>
      </c>
      <c r="D71" s="17">
        <v>70</v>
      </c>
      <c r="E71" s="101">
        <f t="shared" si="6"/>
        <v>360</v>
      </c>
      <c r="F71" s="102"/>
      <c r="G71" s="103">
        <f t="shared" si="5"/>
        <v>0</v>
      </c>
      <c r="H71" s="101"/>
      <c r="I71" s="101"/>
      <c r="J71" s="101"/>
      <c r="K71" s="103">
        <f t="shared" si="7"/>
        <v>360</v>
      </c>
    </row>
    <row r="72" spans="1:11" ht="13.5">
      <c r="A72" s="100" t="s">
        <v>172</v>
      </c>
      <c r="B72" s="17">
        <v>40</v>
      </c>
      <c r="C72" s="17">
        <v>40</v>
      </c>
      <c r="D72" s="17">
        <v>30</v>
      </c>
      <c r="E72" s="101">
        <f t="shared" si="6"/>
        <v>165</v>
      </c>
      <c r="F72" s="102"/>
      <c r="G72" s="103">
        <f t="shared" si="5"/>
        <v>0</v>
      </c>
      <c r="H72" s="101"/>
      <c r="I72" s="101"/>
      <c r="J72" s="101"/>
      <c r="K72" s="103">
        <f t="shared" si="7"/>
        <v>165</v>
      </c>
    </row>
    <row r="73" spans="1:11" ht="13.5">
      <c r="A73" s="100" t="s">
        <v>173</v>
      </c>
      <c r="B73" s="17">
        <v>62</v>
      </c>
      <c r="C73" s="17">
        <v>62</v>
      </c>
      <c r="D73" s="17">
        <v>50</v>
      </c>
      <c r="E73" s="101">
        <f t="shared" si="6"/>
        <v>261</v>
      </c>
      <c r="F73" s="102"/>
      <c r="G73" s="103">
        <f t="shared" si="5"/>
        <v>0</v>
      </c>
      <c r="H73" s="101"/>
      <c r="I73" s="101"/>
      <c r="J73" s="101"/>
      <c r="K73" s="103">
        <f t="shared" si="7"/>
        <v>261</v>
      </c>
    </row>
    <row r="74" spans="1:11" ht="13.5">
      <c r="A74" s="105" t="s">
        <v>54</v>
      </c>
      <c r="B74" s="11">
        <f>SUM(B75:B76)</f>
        <v>135</v>
      </c>
      <c r="C74" s="11">
        <f>SUM(C75:C76)</f>
        <v>135</v>
      </c>
      <c r="D74" s="11">
        <f>SUM(D75:D76)</f>
        <v>110</v>
      </c>
      <c r="E74" s="106">
        <f t="shared" si="6"/>
        <v>570</v>
      </c>
      <c r="F74" s="11">
        <f>SUM(F75:F76)</f>
        <v>0</v>
      </c>
      <c r="G74" s="97">
        <f t="shared" si="5"/>
        <v>0</v>
      </c>
      <c r="H74" s="99"/>
      <c r="I74" s="99"/>
      <c r="J74" s="99"/>
      <c r="K74" s="97">
        <f t="shared" si="7"/>
        <v>570</v>
      </c>
    </row>
    <row r="75" spans="1:11" ht="13.5">
      <c r="A75" s="100" t="s">
        <v>174</v>
      </c>
      <c r="B75" s="17">
        <v>71</v>
      </c>
      <c r="C75" s="17">
        <v>71</v>
      </c>
      <c r="D75" s="17">
        <v>60</v>
      </c>
      <c r="E75" s="101">
        <f t="shared" si="6"/>
        <v>303</v>
      </c>
      <c r="F75" s="102"/>
      <c r="G75" s="103">
        <f aca="true" t="shared" si="8" ref="G75:G91">F75*0.385</f>
        <v>0</v>
      </c>
      <c r="H75" s="101"/>
      <c r="I75" s="101"/>
      <c r="J75" s="101"/>
      <c r="K75" s="103">
        <f t="shared" si="7"/>
        <v>303</v>
      </c>
    </row>
    <row r="76" spans="1:11" ht="13.5">
      <c r="A76" s="100" t="s">
        <v>175</v>
      </c>
      <c r="B76" s="17">
        <v>64</v>
      </c>
      <c r="C76" s="17">
        <v>64</v>
      </c>
      <c r="D76" s="17">
        <v>50</v>
      </c>
      <c r="E76" s="101">
        <f t="shared" si="6"/>
        <v>267</v>
      </c>
      <c r="F76" s="102"/>
      <c r="G76" s="103">
        <f t="shared" si="8"/>
        <v>0</v>
      </c>
      <c r="H76" s="101"/>
      <c r="I76" s="101"/>
      <c r="J76" s="101"/>
      <c r="K76" s="103">
        <f t="shared" si="7"/>
        <v>267</v>
      </c>
    </row>
    <row r="77" spans="1:11" ht="13.5">
      <c r="A77" s="105" t="s">
        <v>55</v>
      </c>
      <c r="B77" s="11">
        <f>SUM(B78:B79)</f>
        <v>54</v>
      </c>
      <c r="C77" s="11">
        <f>SUM(C78:C79)</f>
        <v>54</v>
      </c>
      <c r="D77" s="11">
        <f>SUM(D78:D79)</f>
        <v>45</v>
      </c>
      <c r="E77" s="106">
        <f t="shared" si="6"/>
        <v>229.5</v>
      </c>
      <c r="F77" s="11">
        <f>SUM(F78:F79)</f>
        <v>0</v>
      </c>
      <c r="G77" s="97">
        <f t="shared" si="8"/>
        <v>0</v>
      </c>
      <c r="H77" s="99"/>
      <c r="I77" s="99"/>
      <c r="J77" s="99"/>
      <c r="K77" s="97">
        <f t="shared" si="7"/>
        <v>229.5</v>
      </c>
    </row>
    <row r="78" spans="1:11" ht="13.5">
      <c r="A78" s="100" t="s">
        <v>176</v>
      </c>
      <c r="B78" s="17">
        <v>37</v>
      </c>
      <c r="C78" s="17">
        <v>37</v>
      </c>
      <c r="D78" s="17">
        <v>30</v>
      </c>
      <c r="E78" s="101">
        <f t="shared" si="6"/>
        <v>156</v>
      </c>
      <c r="F78" s="102"/>
      <c r="G78" s="103">
        <f t="shared" si="8"/>
        <v>0</v>
      </c>
      <c r="H78" s="101"/>
      <c r="I78" s="101"/>
      <c r="J78" s="101"/>
      <c r="K78" s="103">
        <f t="shared" si="7"/>
        <v>156</v>
      </c>
    </row>
    <row r="79" spans="1:11" ht="13.5">
      <c r="A79" s="100" t="s">
        <v>177</v>
      </c>
      <c r="B79" s="17">
        <v>17</v>
      </c>
      <c r="C79" s="17">
        <v>17</v>
      </c>
      <c r="D79" s="17">
        <v>15</v>
      </c>
      <c r="E79" s="101">
        <f t="shared" si="6"/>
        <v>73.5</v>
      </c>
      <c r="F79" s="102"/>
      <c r="G79" s="103">
        <f t="shared" si="8"/>
        <v>0</v>
      </c>
      <c r="H79" s="101"/>
      <c r="I79" s="101"/>
      <c r="J79" s="101"/>
      <c r="K79" s="103">
        <f t="shared" si="7"/>
        <v>73.5</v>
      </c>
    </row>
    <row r="80" spans="1:11" ht="13.5">
      <c r="A80" s="105" t="s">
        <v>56</v>
      </c>
      <c r="B80" s="11">
        <f>B81</f>
        <v>33</v>
      </c>
      <c r="C80" s="11">
        <f>C81</f>
        <v>33</v>
      </c>
      <c r="D80" s="11">
        <f>D81</f>
        <v>25</v>
      </c>
      <c r="E80" s="106">
        <f t="shared" si="6"/>
        <v>136.5</v>
      </c>
      <c r="F80" s="11">
        <f>F81</f>
        <v>0</v>
      </c>
      <c r="G80" s="97">
        <f t="shared" si="8"/>
        <v>0</v>
      </c>
      <c r="H80" s="99"/>
      <c r="I80" s="99"/>
      <c r="J80" s="99"/>
      <c r="K80" s="97">
        <f t="shared" si="7"/>
        <v>136.5</v>
      </c>
    </row>
    <row r="81" spans="1:11" ht="13.5">
      <c r="A81" s="100" t="s">
        <v>178</v>
      </c>
      <c r="B81" s="17">
        <v>33</v>
      </c>
      <c r="C81" s="17">
        <v>33</v>
      </c>
      <c r="D81" s="17">
        <v>25</v>
      </c>
      <c r="E81" s="101">
        <f t="shared" si="6"/>
        <v>136.5</v>
      </c>
      <c r="F81" s="102"/>
      <c r="G81" s="103">
        <f t="shared" si="8"/>
        <v>0</v>
      </c>
      <c r="H81" s="101"/>
      <c r="I81" s="101"/>
      <c r="J81" s="101"/>
      <c r="K81" s="103">
        <f t="shared" si="7"/>
        <v>136.5</v>
      </c>
    </row>
    <row r="82" spans="1:11" ht="13.5">
      <c r="A82" s="105" t="s">
        <v>57</v>
      </c>
      <c r="B82" s="11">
        <f>B83</f>
        <v>60</v>
      </c>
      <c r="C82" s="11">
        <f>C83</f>
        <v>60</v>
      </c>
      <c r="D82" s="11">
        <f>D83</f>
        <v>50</v>
      </c>
      <c r="E82" s="106">
        <f t="shared" si="6"/>
        <v>255</v>
      </c>
      <c r="F82" s="11">
        <f>F83</f>
        <v>0</v>
      </c>
      <c r="G82" s="97">
        <f t="shared" si="8"/>
        <v>0</v>
      </c>
      <c r="H82" s="99"/>
      <c r="I82" s="99"/>
      <c r="J82" s="99"/>
      <c r="K82" s="97">
        <f t="shared" si="7"/>
        <v>255</v>
      </c>
    </row>
    <row r="83" spans="1:11" ht="13.5">
      <c r="A83" s="100" t="s">
        <v>180</v>
      </c>
      <c r="B83" s="17">
        <v>60</v>
      </c>
      <c r="C83" s="17">
        <v>60</v>
      </c>
      <c r="D83" s="17">
        <v>50</v>
      </c>
      <c r="E83" s="101">
        <f t="shared" si="6"/>
        <v>255</v>
      </c>
      <c r="F83" s="102"/>
      <c r="G83" s="103">
        <f t="shared" si="8"/>
        <v>0</v>
      </c>
      <c r="H83" s="101"/>
      <c r="I83" s="101"/>
      <c r="J83" s="101"/>
      <c r="K83" s="103">
        <f t="shared" si="7"/>
        <v>255</v>
      </c>
    </row>
    <row r="84" spans="1:11" ht="13.5">
      <c r="A84" s="105" t="s">
        <v>58</v>
      </c>
      <c r="B84" s="11">
        <f>SUM(B85)</f>
        <v>21</v>
      </c>
      <c r="C84" s="11">
        <f>SUM(C85)</f>
        <v>21</v>
      </c>
      <c r="D84" s="11">
        <f>SUM(D85)</f>
        <v>20</v>
      </c>
      <c r="E84" s="106">
        <f t="shared" si="6"/>
        <v>93</v>
      </c>
      <c r="F84" s="11">
        <f>SUM(F85)</f>
        <v>0</v>
      </c>
      <c r="G84" s="97">
        <f t="shared" si="8"/>
        <v>0</v>
      </c>
      <c r="H84" s="99"/>
      <c r="I84" s="99"/>
      <c r="J84" s="99"/>
      <c r="K84" s="97">
        <f t="shared" si="7"/>
        <v>93</v>
      </c>
    </row>
    <row r="85" spans="1:11" ht="13.5">
      <c r="A85" s="100" t="s">
        <v>181</v>
      </c>
      <c r="B85" s="17">
        <v>21</v>
      </c>
      <c r="C85" s="17">
        <v>21</v>
      </c>
      <c r="D85" s="17">
        <v>20</v>
      </c>
      <c r="E85" s="101">
        <f t="shared" si="6"/>
        <v>93</v>
      </c>
      <c r="F85" s="102"/>
      <c r="G85" s="103">
        <f t="shared" si="8"/>
        <v>0</v>
      </c>
      <c r="H85" s="101"/>
      <c r="I85" s="101"/>
      <c r="J85" s="101"/>
      <c r="K85" s="103">
        <f t="shared" si="7"/>
        <v>93</v>
      </c>
    </row>
    <row r="86" spans="1:11" ht="13.5">
      <c r="A86" s="105" t="s">
        <v>59</v>
      </c>
      <c r="B86" s="11">
        <f>B87</f>
        <v>35</v>
      </c>
      <c r="C86" s="11">
        <f>C87</f>
        <v>35</v>
      </c>
      <c r="D86" s="11">
        <f>D87</f>
        <v>25</v>
      </c>
      <c r="E86" s="106">
        <f t="shared" si="6"/>
        <v>142.5</v>
      </c>
      <c r="F86" s="11">
        <f>F87</f>
        <v>0</v>
      </c>
      <c r="G86" s="97">
        <f t="shared" si="8"/>
        <v>0</v>
      </c>
      <c r="H86" s="99"/>
      <c r="I86" s="99"/>
      <c r="J86" s="99"/>
      <c r="K86" s="97">
        <f t="shared" si="7"/>
        <v>142.5</v>
      </c>
    </row>
    <row r="87" spans="1:11" ht="13.5">
      <c r="A87" s="100" t="s">
        <v>182</v>
      </c>
      <c r="B87" s="17">
        <v>35</v>
      </c>
      <c r="C87" s="17">
        <v>35</v>
      </c>
      <c r="D87" s="17">
        <v>25</v>
      </c>
      <c r="E87" s="101">
        <f t="shared" si="6"/>
        <v>142.5</v>
      </c>
      <c r="F87" s="102"/>
      <c r="G87" s="103">
        <f t="shared" si="8"/>
        <v>0</v>
      </c>
      <c r="H87" s="101"/>
      <c r="I87" s="101"/>
      <c r="J87" s="101"/>
      <c r="K87" s="103">
        <f t="shared" si="7"/>
        <v>142.5</v>
      </c>
    </row>
    <row r="88" spans="1:11" ht="13.5">
      <c r="A88" s="105" t="s">
        <v>60</v>
      </c>
      <c r="B88" s="11">
        <f>B89</f>
        <v>67</v>
      </c>
      <c r="C88" s="11">
        <f>C89</f>
        <v>67</v>
      </c>
      <c r="D88" s="11">
        <f>D89</f>
        <v>30</v>
      </c>
      <c r="E88" s="106">
        <f t="shared" si="6"/>
        <v>246</v>
      </c>
      <c r="F88" s="11">
        <f>F89</f>
        <v>0</v>
      </c>
      <c r="G88" s="97">
        <f t="shared" si="8"/>
        <v>0</v>
      </c>
      <c r="H88" s="99"/>
      <c r="I88" s="99"/>
      <c r="J88" s="99"/>
      <c r="K88" s="97">
        <f t="shared" si="7"/>
        <v>246</v>
      </c>
    </row>
    <row r="89" spans="1:11" ht="13.5">
      <c r="A89" s="100" t="s">
        <v>183</v>
      </c>
      <c r="B89" s="17">
        <v>67</v>
      </c>
      <c r="C89" s="17">
        <v>67</v>
      </c>
      <c r="D89" s="17">
        <v>30</v>
      </c>
      <c r="E89" s="101">
        <f t="shared" si="6"/>
        <v>246</v>
      </c>
      <c r="F89" s="102"/>
      <c r="G89" s="103">
        <f t="shared" si="8"/>
        <v>0</v>
      </c>
      <c r="H89" s="101"/>
      <c r="I89" s="101"/>
      <c r="J89" s="101"/>
      <c r="K89" s="103">
        <f t="shared" si="7"/>
        <v>246</v>
      </c>
    </row>
    <row r="90" spans="1:11" ht="13.5">
      <c r="A90" s="105" t="s">
        <v>62</v>
      </c>
      <c r="B90" s="11">
        <f>B91</f>
        <v>19</v>
      </c>
      <c r="C90" s="11">
        <f>C91</f>
        <v>19</v>
      </c>
      <c r="D90" s="11">
        <f>D91</f>
        <v>15</v>
      </c>
      <c r="E90" s="106">
        <f t="shared" si="6"/>
        <v>79.5</v>
      </c>
      <c r="F90" s="11">
        <f>F91</f>
        <v>0</v>
      </c>
      <c r="G90" s="97">
        <f t="shared" si="8"/>
        <v>0</v>
      </c>
      <c r="H90" s="99"/>
      <c r="I90" s="99"/>
      <c r="J90" s="99"/>
      <c r="K90" s="97">
        <f t="shared" si="7"/>
        <v>79.5</v>
      </c>
    </row>
    <row r="91" spans="1:11" ht="13.5">
      <c r="A91" s="100" t="s">
        <v>185</v>
      </c>
      <c r="B91" s="17">
        <v>19</v>
      </c>
      <c r="C91" s="17">
        <v>19</v>
      </c>
      <c r="D91" s="17">
        <v>15</v>
      </c>
      <c r="E91" s="101">
        <f t="shared" si="6"/>
        <v>79.5</v>
      </c>
      <c r="F91" s="102"/>
      <c r="G91" s="103">
        <f t="shared" si="8"/>
        <v>0</v>
      </c>
      <c r="H91" s="101"/>
      <c r="I91" s="101"/>
      <c r="J91" s="101"/>
      <c r="K91" s="103">
        <f t="shared" si="7"/>
        <v>79.5</v>
      </c>
    </row>
    <row r="92" spans="1:11" ht="13.5">
      <c r="A92" s="111" t="s">
        <v>448</v>
      </c>
      <c r="B92" s="111"/>
      <c r="C92" s="111"/>
      <c r="D92" s="111"/>
      <c r="E92" s="111"/>
      <c r="F92" s="112"/>
      <c r="G92" s="111"/>
      <c r="H92" s="111"/>
      <c r="I92" s="111"/>
      <c r="J92" s="111"/>
      <c r="K92" s="111"/>
    </row>
  </sheetData>
  <sheetProtection/>
  <mergeCells count="8">
    <mergeCell ref="A2:K2"/>
    <mergeCell ref="B4:E4"/>
    <mergeCell ref="F4:G4"/>
    <mergeCell ref="H4:I4"/>
    <mergeCell ref="A92:K92"/>
    <mergeCell ref="A4:A5"/>
    <mergeCell ref="J4:J5"/>
    <mergeCell ref="K4:K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U25"/>
  <sheetViews>
    <sheetView zoomScaleSheetLayoutView="100" workbookViewId="0" topLeftCell="A1">
      <selection activeCell="G31" sqref="G31"/>
    </sheetView>
  </sheetViews>
  <sheetFormatPr defaultColWidth="9.00390625" defaultRowHeight="15"/>
  <cols>
    <col min="10" max="10" width="11.57421875" style="0" customWidth="1"/>
    <col min="18" max="18" width="13.140625" style="0" customWidth="1"/>
    <col min="20" max="20" width="11.421875" style="0" customWidth="1"/>
    <col min="21" max="21" width="14.140625" style="0" customWidth="1"/>
  </cols>
  <sheetData>
    <row r="1" spans="1:21" ht="14.25">
      <c r="A1" s="62" t="s">
        <v>449</v>
      </c>
      <c r="B1" s="43"/>
      <c r="C1" s="43"/>
      <c r="D1" s="43"/>
      <c r="E1" s="43"/>
      <c r="F1" s="43"/>
      <c r="G1" s="43"/>
      <c r="H1" s="43"/>
      <c r="I1" s="43"/>
      <c r="J1" s="43"/>
      <c r="K1" s="51"/>
      <c r="L1" s="51"/>
      <c r="M1" s="51"/>
      <c r="N1" s="51"/>
      <c r="O1" s="51"/>
      <c r="P1" s="51"/>
      <c r="Q1" s="51"/>
      <c r="R1" s="51"/>
      <c r="S1" s="51"/>
      <c r="T1" s="51"/>
      <c r="U1" s="51"/>
    </row>
    <row r="2" spans="1:21" ht="24">
      <c r="A2" s="63" t="s">
        <v>450</v>
      </c>
      <c r="B2" s="63"/>
      <c r="C2" s="63"/>
      <c r="D2" s="63"/>
      <c r="E2" s="63"/>
      <c r="F2" s="63"/>
      <c r="G2" s="63"/>
      <c r="H2" s="63"/>
      <c r="I2" s="63"/>
      <c r="J2" s="63"/>
      <c r="K2" s="63"/>
      <c r="L2" s="63"/>
      <c r="M2" s="63"/>
      <c r="N2" s="63"/>
      <c r="O2" s="63"/>
      <c r="P2" s="63"/>
      <c r="Q2" s="63"/>
      <c r="R2" s="63"/>
      <c r="S2" s="63"/>
      <c r="T2" s="63"/>
      <c r="U2" s="63"/>
    </row>
    <row r="3" spans="1:21" ht="24">
      <c r="A3" s="63"/>
      <c r="B3" s="63"/>
      <c r="C3" s="63"/>
      <c r="D3" s="63"/>
      <c r="E3" s="63"/>
      <c r="F3" s="63"/>
      <c r="G3" s="63"/>
      <c r="H3" s="63"/>
      <c r="I3" s="63"/>
      <c r="J3" s="63"/>
      <c r="K3" s="63"/>
      <c r="L3" s="63"/>
      <c r="M3" s="63"/>
      <c r="N3" s="63"/>
      <c r="O3" s="63"/>
      <c r="P3" s="63"/>
      <c r="Q3" s="63"/>
      <c r="R3" s="63"/>
      <c r="S3" s="63"/>
      <c r="T3" s="63"/>
      <c r="U3" s="85" t="s">
        <v>431</v>
      </c>
    </row>
    <row r="4" spans="1:21" ht="13.5">
      <c r="A4" s="10" t="s">
        <v>228</v>
      </c>
      <c r="B4" s="64" t="s">
        <v>451</v>
      </c>
      <c r="C4" s="65"/>
      <c r="D4" s="65"/>
      <c r="E4" s="65"/>
      <c r="F4" s="65"/>
      <c r="G4" s="65"/>
      <c r="H4" s="65"/>
      <c r="I4" s="65"/>
      <c r="J4" s="65"/>
      <c r="K4" s="64" t="s">
        <v>452</v>
      </c>
      <c r="L4" s="65"/>
      <c r="M4" s="65"/>
      <c r="N4" s="65"/>
      <c r="O4" s="65"/>
      <c r="P4" s="65"/>
      <c r="Q4" s="65"/>
      <c r="R4" s="86"/>
      <c r="S4" s="64" t="s">
        <v>230</v>
      </c>
      <c r="T4" s="86"/>
      <c r="U4" s="10" t="s">
        <v>453</v>
      </c>
    </row>
    <row r="5" spans="1:21" ht="40.5">
      <c r="A5" s="66"/>
      <c r="B5" s="10" t="s">
        <v>454</v>
      </c>
      <c r="C5" s="10"/>
      <c r="D5" s="10"/>
      <c r="E5" s="10"/>
      <c r="F5" s="10" t="s">
        <v>455</v>
      </c>
      <c r="G5" s="10"/>
      <c r="H5" s="10"/>
      <c r="I5" s="10"/>
      <c r="J5" s="10" t="s">
        <v>456</v>
      </c>
      <c r="K5" s="10" t="s">
        <v>457</v>
      </c>
      <c r="L5" s="10" t="s">
        <v>458</v>
      </c>
      <c r="M5" s="10"/>
      <c r="N5" s="10" t="s">
        <v>459</v>
      </c>
      <c r="O5" s="10"/>
      <c r="P5" s="10"/>
      <c r="Q5" s="10"/>
      <c r="R5" s="87" t="s">
        <v>112</v>
      </c>
      <c r="S5" s="10" t="s">
        <v>236</v>
      </c>
      <c r="T5" s="10" t="s">
        <v>460</v>
      </c>
      <c r="U5" s="10"/>
    </row>
    <row r="6" spans="1:21" ht="13.5">
      <c r="A6" s="66"/>
      <c r="B6" s="10" t="s">
        <v>237</v>
      </c>
      <c r="C6" s="10" t="s">
        <v>238</v>
      </c>
      <c r="D6" s="10" t="s">
        <v>239</v>
      </c>
      <c r="E6" s="10" t="s">
        <v>240</v>
      </c>
      <c r="F6" s="10" t="s">
        <v>237</v>
      </c>
      <c r="G6" s="10" t="s">
        <v>238</v>
      </c>
      <c r="H6" s="10" t="s">
        <v>239</v>
      </c>
      <c r="I6" s="10" t="s">
        <v>240</v>
      </c>
      <c r="J6" s="10"/>
      <c r="K6" s="10" t="s">
        <v>237</v>
      </c>
      <c r="L6" s="10" t="s">
        <v>237</v>
      </c>
      <c r="M6" s="10" t="s">
        <v>238</v>
      </c>
      <c r="N6" s="10" t="s">
        <v>237</v>
      </c>
      <c r="O6" s="10" t="s">
        <v>238</v>
      </c>
      <c r="P6" s="10" t="s">
        <v>239</v>
      </c>
      <c r="Q6" s="10" t="s">
        <v>240</v>
      </c>
      <c r="R6" s="87"/>
      <c r="S6" s="10"/>
      <c r="T6" s="10"/>
      <c r="U6" s="10"/>
    </row>
    <row r="7" spans="1:21" ht="56.25">
      <c r="A7" s="67" t="s">
        <v>241</v>
      </c>
      <c r="B7" s="68" t="s">
        <v>209</v>
      </c>
      <c r="C7" s="68" t="s">
        <v>210</v>
      </c>
      <c r="D7" s="68" t="s">
        <v>211</v>
      </c>
      <c r="E7" s="68" t="s">
        <v>212</v>
      </c>
      <c r="F7" s="68" t="s">
        <v>213</v>
      </c>
      <c r="G7" s="68" t="s">
        <v>214</v>
      </c>
      <c r="H7" s="68" t="s">
        <v>260</v>
      </c>
      <c r="I7" s="75" t="s">
        <v>216</v>
      </c>
      <c r="J7" s="17" t="s">
        <v>461</v>
      </c>
      <c r="K7" s="68" t="s">
        <v>218</v>
      </c>
      <c r="L7" s="68" t="s">
        <v>334</v>
      </c>
      <c r="M7" s="68" t="s">
        <v>220</v>
      </c>
      <c r="N7" s="68" t="s">
        <v>263</v>
      </c>
      <c r="O7" s="68" t="s">
        <v>222</v>
      </c>
      <c r="P7" s="68" t="s">
        <v>264</v>
      </c>
      <c r="Q7" s="68" t="s">
        <v>265</v>
      </c>
      <c r="R7" s="68" t="s">
        <v>462</v>
      </c>
      <c r="S7" s="68" t="s">
        <v>267</v>
      </c>
      <c r="T7" s="68" t="s">
        <v>463</v>
      </c>
      <c r="U7" s="68" t="s">
        <v>464</v>
      </c>
    </row>
    <row r="8" spans="1:21" ht="13.5">
      <c r="A8" s="69" t="s">
        <v>4</v>
      </c>
      <c r="B8" s="70">
        <f aca="true" t="shared" si="0" ref="B8:U8">SUM(B9:B24)</f>
        <v>180</v>
      </c>
      <c r="C8" s="70">
        <f t="shared" si="0"/>
        <v>900</v>
      </c>
      <c r="D8" s="70">
        <f t="shared" si="0"/>
        <v>2251</v>
      </c>
      <c r="E8" s="70">
        <f t="shared" si="0"/>
        <v>2250</v>
      </c>
      <c r="F8" s="70">
        <f t="shared" si="0"/>
        <v>205</v>
      </c>
      <c r="G8" s="70">
        <f t="shared" si="0"/>
        <v>731</v>
      </c>
      <c r="H8" s="70">
        <f t="shared" si="0"/>
        <v>1899</v>
      </c>
      <c r="I8" s="70">
        <f t="shared" si="0"/>
        <v>3375</v>
      </c>
      <c r="J8" s="76">
        <f t="shared" si="0"/>
        <v>158</v>
      </c>
      <c r="K8" s="70">
        <f t="shared" si="0"/>
        <v>222</v>
      </c>
      <c r="L8" s="70">
        <f t="shared" si="0"/>
        <v>222</v>
      </c>
      <c r="M8" s="70">
        <f t="shared" si="0"/>
        <v>732</v>
      </c>
      <c r="N8" s="70">
        <f t="shared" si="0"/>
        <v>180</v>
      </c>
      <c r="O8" s="70">
        <f t="shared" si="0"/>
        <v>900</v>
      </c>
      <c r="P8" s="70">
        <f t="shared" si="0"/>
        <v>1125</v>
      </c>
      <c r="Q8" s="70">
        <f t="shared" si="0"/>
        <v>1125</v>
      </c>
      <c r="R8" s="76">
        <f t="shared" si="0"/>
        <v>8511</v>
      </c>
      <c r="S8" s="70">
        <f t="shared" si="0"/>
        <v>1000</v>
      </c>
      <c r="T8" s="76">
        <f t="shared" si="0"/>
        <v>385</v>
      </c>
      <c r="U8" s="76">
        <f t="shared" si="0"/>
        <v>9054</v>
      </c>
    </row>
    <row r="9" spans="1:21" ht="13.5">
      <c r="A9" s="71" t="s">
        <v>45</v>
      </c>
      <c r="B9" s="72"/>
      <c r="C9" s="72"/>
      <c r="D9" s="72"/>
      <c r="E9" s="72"/>
      <c r="F9" s="72"/>
      <c r="G9" s="72"/>
      <c r="H9" s="72"/>
      <c r="I9" s="72"/>
      <c r="J9" s="77"/>
      <c r="K9" s="78"/>
      <c r="L9" s="78"/>
      <c r="M9" s="78"/>
      <c r="N9" s="78"/>
      <c r="O9" s="78"/>
      <c r="P9" s="79"/>
      <c r="Q9" s="79"/>
      <c r="R9" s="88"/>
      <c r="S9" s="78">
        <v>200</v>
      </c>
      <c r="T9" s="88">
        <v>77</v>
      </c>
      <c r="U9" s="89">
        <f aca="true" t="shared" si="1" ref="U9:U24">R9+T9+J9</f>
        <v>77</v>
      </c>
    </row>
    <row r="10" spans="1:21" ht="13.5">
      <c r="A10" s="71" t="s">
        <v>46</v>
      </c>
      <c r="B10" s="71">
        <v>16</v>
      </c>
      <c r="C10" s="71">
        <v>81</v>
      </c>
      <c r="D10" s="71">
        <v>209</v>
      </c>
      <c r="E10" s="71">
        <v>209</v>
      </c>
      <c r="F10" s="71">
        <v>20</v>
      </c>
      <c r="G10" s="71">
        <v>19</v>
      </c>
      <c r="H10" s="71">
        <v>134</v>
      </c>
      <c r="I10" s="71">
        <v>342</v>
      </c>
      <c r="J10" s="80">
        <f aca="true" t="shared" si="2" ref="J10:J24">(F10-B10)*3+(G10-C10)*2+(H10-D10)*2+(I10-E10)*1</f>
        <v>-129</v>
      </c>
      <c r="K10" s="79">
        <v>20</v>
      </c>
      <c r="L10" s="79">
        <v>20</v>
      </c>
      <c r="M10" s="79">
        <v>19</v>
      </c>
      <c r="N10" s="79">
        <v>16</v>
      </c>
      <c r="O10" s="79">
        <v>82</v>
      </c>
      <c r="P10" s="81">
        <v>103</v>
      </c>
      <c r="Q10" s="81">
        <v>103</v>
      </c>
      <c r="R10" s="88">
        <f aca="true" t="shared" si="3" ref="R10:R24">(K10+L10+N10)*3+(M10+O10+P10)*2+Q10*1</f>
        <v>679</v>
      </c>
      <c r="S10" s="79">
        <v>72</v>
      </c>
      <c r="T10" s="88">
        <f aca="true" t="shared" si="4" ref="T10:T24">S10*0.385</f>
        <v>27.72</v>
      </c>
      <c r="U10" s="89">
        <f t="shared" si="1"/>
        <v>577.72</v>
      </c>
    </row>
    <row r="11" spans="1:21" ht="13.5">
      <c r="A11" s="71" t="s">
        <v>48</v>
      </c>
      <c r="B11" s="71">
        <v>9</v>
      </c>
      <c r="C11" s="71">
        <v>43</v>
      </c>
      <c r="D11" s="71">
        <v>98</v>
      </c>
      <c r="E11" s="71">
        <v>98</v>
      </c>
      <c r="F11" s="71">
        <v>18</v>
      </c>
      <c r="G11" s="71">
        <v>39</v>
      </c>
      <c r="H11" s="71">
        <v>91</v>
      </c>
      <c r="I11" s="71">
        <v>104</v>
      </c>
      <c r="J11" s="80">
        <f t="shared" si="2"/>
        <v>11</v>
      </c>
      <c r="K11" s="79">
        <v>18</v>
      </c>
      <c r="L11" s="79">
        <v>18</v>
      </c>
      <c r="M11" s="79">
        <v>39</v>
      </c>
      <c r="N11" s="79">
        <v>9</v>
      </c>
      <c r="O11" s="79">
        <v>44</v>
      </c>
      <c r="P11" s="81">
        <v>54.5</v>
      </c>
      <c r="Q11" s="81">
        <v>54.5</v>
      </c>
      <c r="R11" s="88">
        <f t="shared" si="3"/>
        <v>464.5</v>
      </c>
      <c r="S11" s="79">
        <v>38</v>
      </c>
      <c r="T11" s="88">
        <f t="shared" si="4"/>
        <v>14.63</v>
      </c>
      <c r="U11" s="89">
        <f t="shared" si="1"/>
        <v>490.13</v>
      </c>
    </row>
    <row r="12" spans="1:21" ht="13.5">
      <c r="A12" s="71" t="s">
        <v>49</v>
      </c>
      <c r="B12" s="71">
        <v>9</v>
      </c>
      <c r="C12" s="71">
        <v>45</v>
      </c>
      <c r="D12" s="71">
        <v>133</v>
      </c>
      <c r="E12" s="71">
        <v>133</v>
      </c>
      <c r="F12" s="71">
        <v>11</v>
      </c>
      <c r="G12" s="71">
        <v>62</v>
      </c>
      <c r="H12" s="71">
        <v>55</v>
      </c>
      <c r="I12" s="71">
        <v>217</v>
      </c>
      <c r="J12" s="80">
        <f t="shared" si="2"/>
        <v>-32</v>
      </c>
      <c r="K12" s="79">
        <v>11</v>
      </c>
      <c r="L12" s="79">
        <v>11</v>
      </c>
      <c r="M12" s="79">
        <v>62</v>
      </c>
      <c r="N12" s="79">
        <v>9</v>
      </c>
      <c r="O12" s="79">
        <v>45</v>
      </c>
      <c r="P12" s="81">
        <v>65</v>
      </c>
      <c r="Q12" s="81">
        <v>65</v>
      </c>
      <c r="R12" s="88">
        <f t="shared" si="3"/>
        <v>502</v>
      </c>
      <c r="S12" s="79">
        <v>40</v>
      </c>
      <c r="T12" s="88">
        <f t="shared" si="4"/>
        <v>15.4</v>
      </c>
      <c r="U12" s="89">
        <f t="shared" si="1"/>
        <v>485.4</v>
      </c>
    </row>
    <row r="13" spans="1:21" ht="13.5">
      <c r="A13" s="71" t="s">
        <v>50</v>
      </c>
      <c r="B13" s="71">
        <v>13</v>
      </c>
      <c r="C13" s="71">
        <v>65</v>
      </c>
      <c r="D13" s="71">
        <v>168</v>
      </c>
      <c r="E13" s="71">
        <v>168</v>
      </c>
      <c r="F13" s="71">
        <v>13</v>
      </c>
      <c r="G13" s="71">
        <v>58</v>
      </c>
      <c r="H13" s="71">
        <v>203</v>
      </c>
      <c r="I13" s="71">
        <v>181</v>
      </c>
      <c r="J13" s="80">
        <f t="shared" si="2"/>
        <v>69</v>
      </c>
      <c r="K13" s="79">
        <v>13</v>
      </c>
      <c r="L13" s="79">
        <v>13</v>
      </c>
      <c r="M13" s="79">
        <v>58</v>
      </c>
      <c r="N13" s="79">
        <v>13</v>
      </c>
      <c r="O13" s="79">
        <v>64</v>
      </c>
      <c r="P13" s="81">
        <v>80</v>
      </c>
      <c r="Q13" s="81">
        <v>80</v>
      </c>
      <c r="R13" s="88">
        <f t="shared" si="3"/>
        <v>601</v>
      </c>
      <c r="S13" s="79">
        <v>58</v>
      </c>
      <c r="T13" s="88">
        <f t="shared" si="4"/>
        <v>22.330000000000002</v>
      </c>
      <c r="U13" s="89">
        <f t="shared" si="1"/>
        <v>692.33</v>
      </c>
    </row>
    <row r="14" spans="1:21" ht="13.5">
      <c r="A14" s="71" t="s">
        <v>51</v>
      </c>
      <c r="B14" s="71">
        <v>14</v>
      </c>
      <c r="C14" s="71">
        <v>70</v>
      </c>
      <c r="D14" s="71">
        <v>69</v>
      </c>
      <c r="E14" s="71">
        <v>68</v>
      </c>
      <c r="F14" s="71">
        <v>11</v>
      </c>
      <c r="G14" s="71">
        <v>42</v>
      </c>
      <c r="H14" s="71">
        <v>115</v>
      </c>
      <c r="I14" s="71">
        <v>251</v>
      </c>
      <c r="J14" s="80">
        <f t="shared" si="2"/>
        <v>210</v>
      </c>
      <c r="K14" s="79">
        <v>11</v>
      </c>
      <c r="L14" s="79">
        <v>11</v>
      </c>
      <c r="M14" s="79">
        <v>42</v>
      </c>
      <c r="N14" s="79">
        <v>14</v>
      </c>
      <c r="O14" s="79">
        <v>71</v>
      </c>
      <c r="P14" s="81">
        <v>78</v>
      </c>
      <c r="Q14" s="81">
        <v>78</v>
      </c>
      <c r="R14" s="88">
        <f t="shared" si="3"/>
        <v>568</v>
      </c>
      <c r="S14" s="79">
        <v>62</v>
      </c>
      <c r="T14" s="88">
        <f t="shared" si="4"/>
        <v>23.87</v>
      </c>
      <c r="U14" s="89">
        <f t="shared" si="1"/>
        <v>801.87</v>
      </c>
    </row>
    <row r="15" spans="1:21" ht="13.5">
      <c r="A15" s="71" t="s">
        <v>52</v>
      </c>
      <c r="B15" s="71">
        <v>9</v>
      </c>
      <c r="C15" s="71">
        <v>43</v>
      </c>
      <c r="D15" s="71">
        <v>134</v>
      </c>
      <c r="E15" s="71">
        <v>134</v>
      </c>
      <c r="F15" s="71">
        <v>13</v>
      </c>
      <c r="G15" s="71">
        <v>32</v>
      </c>
      <c r="H15" s="71">
        <v>90</v>
      </c>
      <c r="I15" s="71">
        <v>185</v>
      </c>
      <c r="J15" s="80">
        <f t="shared" si="2"/>
        <v>-47</v>
      </c>
      <c r="K15" s="79">
        <v>13</v>
      </c>
      <c r="L15" s="79">
        <v>13</v>
      </c>
      <c r="M15" s="79">
        <v>32</v>
      </c>
      <c r="N15" s="79">
        <v>9</v>
      </c>
      <c r="O15" s="79">
        <v>44</v>
      </c>
      <c r="P15" s="81">
        <v>54.5</v>
      </c>
      <c r="Q15" s="81">
        <v>54.5</v>
      </c>
      <c r="R15" s="88">
        <f t="shared" si="3"/>
        <v>420.5</v>
      </c>
      <c r="S15" s="79">
        <v>38</v>
      </c>
      <c r="T15" s="88">
        <f t="shared" si="4"/>
        <v>14.63</v>
      </c>
      <c r="U15" s="89">
        <f t="shared" si="1"/>
        <v>388.13</v>
      </c>
    </row>
    <row r="16" spans="1:21" ht="14.25">
      <c r="A16" s="73" t="s">
        <v>55</v>
      </c>
      <c r="B16" s="73">
        <v>7</v>
      </c>
      <c r="C16" s="73">
        <v>32</v>
      </c>
      <c r="D16" s="73">
        <v>140</v>
      </c>
      <c r="E16" s="73">
        <v>140</v>
      </c>
      <c r="F16" s="73">
        <v>7</v>
      </c>
      <c r="G16" s="73">
        <v>14</v>
      </c>
      <c r="H16" s="73">
        <v>126</v>
      </c>
      <c r="I16" s="73">
        <v>5</v>
      </c>
      <c r="J16" s="82">
        <f t="shared" si="2"/>
        <v>-199</v>
      </c>
      <c r="K16" s="83">
        <v>24</v>
      </c>
      <c r="L16" s="83">
        <v>24</v>
      </c>
      <c r="M16" s="83">
        <v>15</v>
      </c>
      <c r="N16" s="83">
        <v>7</v>
      </c>
      <c r="O16" s="83">
        <v>32</v>
      </c>
      <c r="P16" s="84">
        <v>39.5</v>
      </c>
      <c r="Q16" s="84">
        <v>39.5</v>
      </c>
      <c r="R16" s="90">
        <f t="shared" si="3"/>
        <v>377.5</v>
      </c>
      <c r="S16" s="83">
        <v>30</v>
      </c>
      <c r="T16" s="90">
        <f t="shared" si="4"/>
        <v>11.55</v>
      </c>
      <c r="U16" s="91">
        <f t="shared" si="1"/>
        <v>190.05</v>
      </c>
    </row>
    <row r="17" spans="1:21" ht="13.5">
      <c r="A17" s="71" t="s">
        <v>56</v>
      </c>
      <c r="B17" s="71">
        <v>7</v>
      </c>
      <c r="C17" s="71">
        <v>36</v>
      </c>
      <c r="D17" s="71">
        <v>94</v>
      </c>
      <c r="E17" s="71">
        <v>94</v>
      </c>
      <c r="F17" s="71">
        <v>7</v>
      </c>
      <c r="G17" s="71">
        <v>45</v>
      </c>
      <c r="H17" s="71">
        <v>60</v>
      </c>
      <c r="I17" s="71">
        <v>123</v>
      </c>
      <c r="J17" s="80">
        <f t="shared" si="2"/>
        <v>-21</v>
      </c>
      <c r="K17" s="79">
        <v>7</v>
      </c>
      <c r="L17" s="79">
        <v>7</v>
      </c>
      <c r="M17" s="79">
        <v>45</v>
      </c>
      <c r="N17" s="79">
        <v>7</v>
      </c>
      <c r="O17" s="79">
        <v>37</v>
      </c>
      <c r="P17" s="81">
        <v>40.5</v>
      </c>
      <c r="Q17" s="81">
        <v>40.5</v>
      </c>
      <c r="R17" s="88">
        <f t="shared" si="3"/>
        <v>348.5</v>
      </c>
      <c r="S17" s="79">
        <v>32</v>
      </c>
      <c r="T17" s="88">
        <f t="shared" si="4"/>
        <v>12.32</v>
      </c>
      <c r="U17" s="89">
        <f t="shared" si="1"/>
        <v>339.82</v>
      </c>
    </row>
    <row r="18" spans="1:21" ht="13.5">
      <c r="A18" s="71" t="s">
        <v>57</v>
      </c>
      <c r="B18" s="71">
        <v>21</v>
      </c>
      <c r="C18" s="71">
        <v>106</v>
      </c>
      <c r="D18" s="71">
        <v>239</v>
      </c>
      <c r="E18" s="71">
        <v>239</v>
      </c>
      <c r="F18" s="71">
        <v>29</v>
      </c>
      <c r="G18" s="71">
        <v>39</v>
      </c>
      <c r="H18" s="71">
        <v>46</v>
      </c>
      <c r="I18" s="71">
        <v>589</v>
      </c>
      <c r="J18" s="80">
        <f t="shared" si="2"/>
        <v>-146</v>
      </c>
      <c r="K18" s="79">
        <v>29</v>
      </c>
      <c r="L18" s="79">
        <v>29</v>
      </c>
      <c r="M18" s="79">
        <v>39</v>
      </c>
      <c r="N18" s="79">
        <v>21</v>
      </c>
      <c r="O18" s="79">
        <v>107</v>
      </c>
      <c r="P18" s="81">
        <v>120</v>
      </c>
      <c r="Q18" s="81">
        <v>120</v>
      </c>
      <c r="R18" s="88">
        <f t="shared" si="3"/>
        <v>889</v>
      </c>
      <c r="S18" s="79">
        <v>94</v>
      </c>
      <c r="T18" s="88">
        <f t="shared" si="4"/>
        <v>36.19</v>
      </c>
      <c r="U18" s="89">
        <f t="shared" si="1"/>
        <v>779.19</v>
      </c>
    </row>
    <row r="19" spans="1:21" ht="13.5">
      <c r="A19" s="71" t="s">
        <v>58</v>
      </c>
      <c r="B19" s="71">
        <v>18</v>
      </c>
      <c r="C19" s="71">
        <v>90</v>
      </c>
      <c r="D19" s="71">
        <v>223</v>
      </c>
      <c r="E19" s="71">
        <v>223</v>
      </c>
      <c r="F19" s="71">
        <v>17</v>
      </c>
      <c r="G19" s="71">
        <v>77</v>
      </c>
      <c r="H19" s="71">
        <v>238</v>
      </c>
      <c r="I19" s="71">
        <v>430</v>
      </c>
      <c r="J19" s="80">
        <f t="shared" si="2"/>
        <v>208</v>
      </c>
      <c r="K19" s="79">
        <v>17</v>
      </c>
      <c r="L19" s="79">
        <v>17</v>
      </c>
      <c r="M19" s="79">
        <v>77</v>
      </c>
      <c r="N19" s="79">
        <v>18</v>
      </c>
      <c r="O19" s="79">
        <v>92</v>
      </c>
      <c r="P19" s="81">
        <v>115.5</v>
      </c>
      <c r="Q19" s="81">
        <v>115.5</v>
      </c>
      <c r="R19" s="88">
        <f t="shared" si="3"/>
        <v>840.5</v>
      </c>
      <c r="S19" s="79">
        <v>80</v>
      </c>
      <c r="T19" s="88">
        <f t="shared" si="4"/>
        <v>30.8</v>
      </c>
      <c r="U19" s="89">
        <f t="shared" si="1"/>
        <v>1079.3</v>
      </c>
    </row>
    <row r="20" spans="1:21" ht="13.5">
      <c r="A20" s="71" t="s">
        <v>59</v>
      </c>
      <c r="B20" s="71">
        <v>11</v>
      </c>
      <c r="C20" s="71">
        <v>60</v>
      </c>
      <c r="D20" s="71">
        <v>122</v>
      </c>
      <c r="E20" s="71">
        <v>122</v>
      </c>
      <c r="F20" s="71">
        <v>7</v>
      </c>
      <c r="G20" s="71">
        <v>60</v>
      </c>
      <c r="H20" s="71">
        <v>132</v>
      </c>
      <c r="I20" s="71">
        <v>143</v>
      </c>
      <c r="J20" s="80">
        <f t="shared" si="2"/>
        <v>29</v>
      </c>
      <c r="K20" s="79">
        <v>7</v>
      </c>
      <c r="L20" s="79">
        <v>7</v>
      </c>
      <c r="M20" s="79">
        <v>60</v>
      </c>
      <c r="N20" s="79">
        <v>12</v>
      </c>
      <c r="O20" s="79">
        <v>61</v>
      </c>
      <c r="P20" s="81">
        <v>76</v>
      </c>
      <c r="Q20" s="81">
        <v>76</v>
      </c>
      <c r="R20" s="88">
        <f t="shared" si="3"/>
        <v>548</v>
      </c>
      <c r="S20" s="79">
        <v>54</v>
      </c>
      <c r="T20" s="88">
        <f t="shared" si="4"/>
        <v>20.79</v>
      </c>
      <c r="U20" s="89">
        <f t="shared" si="1"/>
        <v>597.79</v>
      </c>
    </row>
    <row r="21" spans="1:21" ht="13.5">
      <c r="A21" s="71" t="s">
        <v>60</v>
      </c>
      <c r="B21" s="71">
        <v>13</v>
      </c>
      <c r="C21" s="71">
        <v>63</v>
      </c>
      <c r="D21" s="71">
        <v>144</v>
      </c>
      <c r="E21" s="71">
        <v>144</v>
      </c>
      <c r="F21" s="71">
        <v>10</v>
      </c>
      <c r="G21" s="71">
        <v>61</v>
      </c>
      <c r="H21" s="71">
        <v>131</v>
      </c>
      <c r="I21" s="71">
        <v>242</v>
      </c>
      <c r="J21" s="80">
        <f t="shared" si="2"/>
        <v>59</v>
      </c>
      <c r="K21" s="79">
        <v>10</v>
      </c>
      <c r="L21" s="79">
        <v>10</v>
      </c>
      <c r="M21" s="79">
        <v>61</v>
      </c>
      <c r="N21" s="79">
        <v>12</v>
      </c>
      <c r="O21" s="79">
        <v>57</v>
      </c>
      <c r="P21" s="81">
        <v>71.5</v>
      </c>
      <c r="Q21" s="81">
        <v>71.5</v>
      </c>
      <c r="R21" s="88">
        <f t="shared" si="3"/>
        <v>546.5</v>
      </c>
      <c r="S21" s="79">
        <v>56</v>
      </c>
      <c r="T21" s="88">
        <f t="shared" si="4"/>
        <v>21.560000000000002</v>
      </c>
      <c r="U21" s="89">
        <f t="shared" si="1"/>
        <v>627.06</v>
      </c>
    </row>
    <row r="22" spans="1:21" ht="13.5">
      <c r="A22" s="71" t="s">
        <v>61</v>
      </c>
      <c r="B22" s="71">
        <v>8</v>
      </c>
      <c r="C22" s="71">
        <v>40</v>
      </c>
      <c r="D22" s="71">
        <v>98</v>
      </c>
      <c r="E22" s="71">
        <v>98</v>
      </c>
      <c r="F22" s="71">
        <v>7</v>
      </c>
      <c r="G22" s="71">
        <v>29</v>
      </c>
      <c r="H22" s="71">
        <v>70</v>
      </c>
      <c r="I22" s="71">
        <v>154</v>
      </c>
      <c r="J22" s="80">
        <f t="shared" si="2"/>
        <v>-25</v>
      </c>
      <c r="K22" s="79">
        <v>7</v>
      </c>
      <c r="L22" s="79">
        <v>7</v>
      </c>
      <c r="M22" s="79">
        <v>29</v>
      </c>
      <c r="N22" s="79">
        <v>8</v>
      </c>
      <c r="O22" s="79">
        <v>39</v>
      </c>
      <c r="P22" s="81">
        <v>48.5</v>
      </c>
      <c r="Q22" s="81">
        <v>48.5</v>
      </c>
      <c r="R22" s="88">
        <f t="shared" si="3"/>
        <v>347.5</v>
      </c>
      <c r="S22" s="79">
        <v>34</v>
      </c>
      <c r="T22" s="88">
        <f t="shared" si="4"/>
        <v>13.09</v>
      </c>
      <c r="U22" s="89">
        <f t="shared" si="1"/>
        <v>335.59</v>
      </c>
    </row>
    <row r="23" spans="1:21" ht="13.5">
      <c r="A23" s="71" t="s">
        <v>62</v>
      </c>
      <c r="B23" s="71">
        <v>18</v>
      </c>
      <c r="C23" s="71">
        <v>90</v>
      </c>
      <c r="D23" s="71">
        <v>273</v>
      </c>
      <c r="E23" s="71">
        <v>273</v>
      </c>
      <c r="F23" s="71">
        <v>23</v>
      </c>
      <c r="G23" s="71">
        <v>104</v>
      </c>
      <c r="H23" s="71">
        <v>330</v>
      </c>
      <c r="I23" s="71">
        <v>266</v>
      </c>
      <c r="J23" s="80">
        <f t="shared" si="2"/>
        <v>150</v>
      </c>
      <c r="K23" s="79">
        <v>23</v>
      </c>
      <c r="L23" s="79">
        <v>23</v>
      </c>
      <c r="M23" s="79">
        <v>104</v>
      </c>
      <c r="N23" s="79">
        <v>18</v>
      </c>
      <c r="O23" s="79">
        <v>88</v>
      </c>
      <c r="P23" s="81">
        <v>126</v>
      </c>
      <c r="Q23" s="81">
        <v>126</v>
      </c>
      <c r="R23" s="88">
        <f t="shared" si="3"/>
        <v>954</v>
      </c>
      <c r="S23" s="79">
        <v>80</v>
      </c>
      <c r="T23" s="88">
        <f t="shared" si="4"/>
        <v>30.8</v>
      </c>
      <c r="U23" s="89">
        <f t="shared" si="1"/>
        <v>1134.8</v>
      </c>
    </row>
    <row r="24" spans="1:21" ht="13.5">
      <c r="A24" s="71" t="s">
        <v>63</v>
      </c>
      <c r="B24" s="71">
        <v>7</v>
      </c>
      <c r="C24" s="71">
        <v>36</v>
      </c>
      <c r="D24" s="71">
        <v>107</v>
      </c>
      <c r="E24" s="71">
        <v>107</v>
      </c>
      <c r="F24" s="71">
        <v>12</v>
      </c>
      <c r="G24" s="71">
        <v>50</v>
      </c>
      <c r="H24" s="71">
        <v>78</v>
      </c>
      <c r="I24" s="71">
        <v>143</v>
      </c>
      <c r="J24" s="80">
        <f t="shared" si="2"/>
        <v>21</v>
      </c>
      <c r="K24" s="79">
        <v>12</v>
      </c>
      <c r="L24" s="79">
        <v>12</v>
      </c>
      <c r="M24" s="79">
        <v>50</v>
      </c>
      <c r="N24" s="79">
        <v>7</v>
      </c>
      <c r="O24" s="79">
        <v>37</v>
      </c>
      <c r="P24" s="81">
        <v>52.5</v>
      </c>
      <c r="Q24" s="81">
        <v>52.5</v>
      </c>
      <c r="R24" s="88">
        <f t="shared" si="3"/>
        <v>424.5</v>
      </c>
      <c r="S24" s="79">
        <v>32</v>
      </c>
      <c r="T24" s="88">
        <f t="shared" si="4"/>
        <v>12.32</v>
      </c>
      <c r="U24" s="89">
        <f t="shared" si="1"/>
        <v>457.82</v>
      </c>
    </row>
    <row r="25" spans="1:21" ht="13.5">
      <c r="A25" s="74" t="s">
        <v>465</v>
      </c>
      <c r="B25" s="74"/>
      <c r="C25" s="74"/>
      <c r="D25" s="74"/>
      <c r="E25" s="74"/>
      <c r="F25" s="74"/>
      <c r="G25" s="74"/>
      <c r="H25" s="74"/>
      <c r="I25" s="74"/>
      <c r="J25" s="74"/>
      <c r="K25" s="74"/>
      <c r="L25" s="74"/>
      <c r="M25" s="74"/>
      <c r="N25" s="74"/>
      <c r="O25" s="74"/>
      <c r="P25" s="74"/>
      <c r="Q25" s="74"/>
      <c r="R25" s="74"/>
      <c r="S25" s="74"/>
      <c r="T25" s="74"/>
      <c r="U25" s="74"/>
    </row>
  </sheetData>
  <sheetProtection/>
  <mergeCells count="15">
    <mergeCell ref="A2:U2"/>
    <mergeCell ref="B4:J4"/>
    <mergeCell ref="K4:R4"/>
    <mergeCell ref="S4:T4"/>
    <mergeCell ref="B5:E5"/>
    <mergeCell ref="F5:I5"/>
    <mergeCell ref="L5:M5"/>
    <mergeCell ref="N5:Q5"/>
    <mergeCell ref="A25:U25"/>
    <mergeCell ref="A4:A6"/>
    <mergeCell ref="J5:J6"/>
    <mergeCell ref="R5:R6"/>
    <mergeCell ref="S5:S6"/>
    <mergeCell ref="T5:T6"/>
    <mergeCell ref="U4:U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16"/>
  <sheetViews>
    <sheetView zoomScaleSheetLayoutView="100" workbookViewId="0" topLeftCell="A1">
      <selection activeCell="K3" sqref="K3"/>
    </sheetView>
  </sheetViews>
  <sheetFormatPr defaultColWidth="9.00390625" defaultRowHeight="15"/>
  <sheetData>
    <row r="1" spans="1:8" ht="72">
      <c r="A1" s="56" t="s">
        <v>466</v>
      </c>
      <c r="B1" s="56" t="s">
        <v>467</v>
      </c>
      <c r="C1" s="57" t="s">
        <v>237</v>
      </c>
      <c r="D1" s="57" t="s">
        <v>238</v>
      </c>
      <c r="E1" s="57" t="s">
        <v>239</v>
      </c>
      <c r="F1" s="57" t="s">
        <v>240</v>
      </c>
      <c r="G1" s="58" t="s">
        <v>468</v>
      </c>
      <c r="H1" s="58" t="s">
        <v>469</v>
      </c>
    </row>
    <row r="2" spans="1:8" ht="13.5">
      <c r="A2" s="59">
        <v>2021</v>
      </c>
      <c r="B2" s="60" t="s">
        <v>48</v>
      </c>
      <c r="C2" s="61">
        <v>11</v>
      </c>
      <c r="D2" s="61">
        <v>45</v>
      </c>
      <c r="E2" s="61">
        <v>51</v>
      </c>
      <c r="F2" s="61">
        <v>65</v>
      </c>
      <c r="G2" s="61">
        <v>39</v>
      </c>
      <c r="H2" s="61">
        <v>56</v>
      </c>
    </row>
    <row r="3" spans="1:8" ht="13.5">
      <c r="A3" s="59">
        <v>2021</v>
      </c>
      <c r="B3" s="60" t="s">
        <v>46</v>
      </c>
      <c r="C3" s="61">
        <v>17</v>
      </c>
      <c r="D3" s="61">
        <v>38</v>
      </c>
      <c r="E3" s="61">
        <v>61</v>
      </c>
      <c r="F3" s="61">
        <v>191</v>
      </c>
      <c r="G3" s="61">
        <v>73</v>
      </c>
      <c r="H3" s="61">
        <v>73</v>
      </c>
    </row>
    <row r="4" spans="1:8" ht="13.5">
      <c r="A4" s="59">
        <v>2021</v>
      </c>
      <c r="B4" s="60" t="s">
        <v>55</v>
      </c>
      <c r="C4" s="61">
        <v>4</v>
      </c>
      <c r="D4" s="61">
        <v>21</v>
      </c>
      <c r="E4" s="61">
        <v>137</v>
      </c>
      <c r="F4" s="61">
        <v>2</v>
      </c>
      <c r="G4" s="61">
        <v>28</v>
      </c>
      <c r="H4" s="61">
        <v>15</v>
      </c>
    </row>
    <row r="5" spans="1:8" ht="13.5">
      <c r="A5" s="59">
        <v>2021</v>
      </c>
      <c r="B5" s="60" t="s">
        <v>57</v>
      </c>
      <c r="C5" s="61">
        <v>27</v>
      </c>
      <c r="D5" s="61">
        <v>67</v>
      </c>
      <c r="E5" s="61">
        <v>15</v>
      </c>
      <c r="F5" s="61">
        <v>320</v>
      </c>
      <c r="G5" s="61">
        <v>95</v>
      </c>
      <c r="H5" s="61">
        <v>95</v>
      </c>
    </row>
    <row r="6" spans="1:8" ht="13.5">
      <c r="A6" s="59">
        <v>2021</v>
      </c>
      <c r="B6" s="60" t="s">
        <v>58</v>
      </c>
      <c r="C6" s="61">
        <v>14</v>
      </c>
      <c r="D6" s="61">
        <v>86</v>
      </c>
      <c r="E6" s="61">
        <v>138</v>
      </c>
      <c r="F6" s="61">
        <v>159</v>
      </c>
      <c r="G6" s="61">
        <v>83</v>
      </c>
      <c r="H6" s="61">
        <v>80</v>
      </c>
    </row>
    <row r="7" spans="1:8" ht="13.5">
      <c r="A7" s="59">
        <v>2021</v>
      </c>
      <c r="B7" s="60" t="s">
        <v>59</v>
      </c>
      <c r="C7" s="61">
        <v>10</v>
      </c>
      <c r="D7" s="61">
        <v>86</v>
      </c>
      <c r="E7" s="61">
        <v>88</v>
      </c>
      <c r="F7" s="61">
        <v>80</v>
      </c>
      <c r="G7" s="61">
        <v>54</v>
      </c>
      <c r="H7" s="61">
        <v>80</v>
      </c>
    </row>
    <row r="8" spans="1:8" ht="13.5">
      <c r="A8" s="59">
        <v>2021</v>
      </c>
      <c r="B8" s="60" t="s">
        <v>51</v>
      </c>
      <c r="C8" s="61">
        <v>20</v>
      </c>
      <c r="D8" s="61">
        <v>65</v>
      </c>
      <c r="E8" s="61">
        <v>99</v>
      </c>
      <c r="F8" s="61">
        <v>74</v>
      </c>
      <c r="G8" s="61">
        <v>63</v>
      </c>
      <c r="H8" s="61">
        <v>0</v>
      </c>
    </row>
    <row r="9" spans="1:8" ht="13.5">
      <c r="A9" s="59">
        <v>2021</v>
      </c>
      <c r="B9" s="60" t="s">
        <v>50</v>
      </c>
      <c r="C9" s="61">
        <v>20</v>
      </c>
      <c r="D9" s="61">
        <v>86</v>
      </c>
      <c r="E9" s="61">
        <v>76</v>
      </c>
      <c r="F9" s="61">
        <v>69</v>
      </c>
      <c r="G9" s="61">
        <v>57</v>
      </c>
      <c r="H9" s="61">
        <v>58</v>
      </c>
    </row>
    <row r="10" spans="1:8" ht="13.5">
      <c r="A10" s="59">
        <v>2021</v>
      </c>
      <c r="B10" s="60" t="s">
        <v>52</v>
      </c>
      <c r="C10" s="61">
        <v>7</v>
      </c>
      <c r="D10" s="61">
        <v>58</v>
      </c>
      <c r="E10" s="61">
        <v>69</v>
      </c>
      <c r="F10" s="61">
        <v>52</v>
      </c>
      <c r="G10" s="61">
        <v>39</v>
      </c>
      <c r="H10" s="61">
        <v>39</v>
      </c>
    </row>
    <row r="11" spans="1:8" ht="13.5">
      <c r="A11" s="59">
        <v>2021</v>
      </c>
      <c r="B11" s="60" t="s">
        <v>49</v>
      </c>
      <c r="C11" s="61">
        <v>19</v>
      </c>
      <c r="D11" s="61">
        <v>55</v>
      </c>
      <c r="E11" s="61">
        <v>52</v>
      </c>
      <c r="F11" s="61">
        <v>90</v>
      </c>
      <c r="G11" s="61">
        <v>40</v>
      </c>
      <c r="H11" s="61">
        <v>40</v>
      </c>
    </row>
    <row r="12" spans="1:8" ht="13.5">
      <c r="A12" s="59">
        <v>2021</v>
      </c>
      <c r="B12" s="60" t="s">
        <v>56</v>
      </c>
      <c r="C12" s="61">
        <v>11</v>
      </c>
      <c r="D12" s="61">
        <v>33</v>
      </c>
      <c r="E12" s="61">
        <v>28</v>
      </c>
      <c r="F12" s="61">
        <v>56</v>
      </c>
      <c r="G12" s="61">
        <v>33</v>
      </c>
      <c r="H12" s="61">
        <v>0</v>
      </c>
    </row>
    <row r="13" spans="1:8" ht="13.5">
      <c r="A13" s="59">
        <v>2021</v>
      </c>
      <c r="B13" s="60" t="s">
        <v>60</v>
      </c>
      <c r="C13" s="61">
        <v>9</v>
      </c>
      <c r="D13" s="61">
        <v>89</v>
      </c>
      <c r="E13" s="61">
        <v>71</v>
      </c>
      <c r="F13" s="61">
        <v>116</v>
      </c>
      <c r="G13" s="61">
        <v>50</v>
      </c>
      <c r="H13" s="61">
        <v>54</v>
      </c>
    </row>
    <row r="14" spans="1:8" ht="13.5">
      <c r="A14" s="59">
        <v>2021</v>
      </c>
      <c r="B14" s="60" t="s">
        <v>61</v>
      </c>
      <c r="C14" s="61">
        <v>7</v>
      </c>
      <c r="D14" s="61">
        <v>26</v>
      </c>
      <c r="E14" s="61">
        <v>71</v>
      </c>
      <c r="F14" s="61">
        <v>44</v>
      </c>
      <c r="G14" s="61">
        <v>34</v>
      </c>
      <c r="H14" s="61">
        <v>34</v>
      </c>
    </row>
    <row r="15" spans="1:8" ht="13.5">
      <c r="A15" s="59">
        <v>2021</v>
      </c>
      <c r="B15" s="60" t="s">
        <v>62</v>
      </c>
      <c r="C15" s="61">
        <v>13</v>
      </c>
      <c r="D15" s="61">
        <v>91</v>
      </c>
      <c r="E15" s="61">
        <v>173</v>
      </c>
      <c r="F15" s="61">
        <v>136</v>
      </c>
      <c r="G15" s="61">
        <v>79</v>
      </c>
      <c r="H15" s="61">
        <v>68</v>
      </c>
    </row>
    <row r="16" spans="1:8" ht="13.5">
      <c r="A16" s="59">
        <v>2021</v>
      </c>
      <c r="B16" s="60" t="s">
        <v>63</v>
      </c>
      <c r="C16" s="61">
        <v>10</v>
      </c>
      <c r="D16" s="61">
        <v>25</v>
      </c>
      <c r="E16" s="61">
        <v>68</v>
      </c>
      <c r="F16" s="61">
        <v>79</v>
      </c>
      <c r="G16" s="61">
        <v>33</v>
      </c>
      <c r="H16" s="61">
        <v>33</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N25"/>
  <sheetViews>
    <sheetView zoomScaleSheetLayoutView="100" workbookViewId="0" topLeftCell="A1">
      <selection activeCell="F14" sqref="F14"/>
    </sheetView>
  </sheetViews>
  <sheetFormatPr defaultColWidth="8.7109375" defaultRowHeight="15"/>
  <cols>
    <col min="9" max="9" width="10.8515625" style="0" customWidth="1"/>
  </cols>
  <sheetData>
    <row r="1" spans="1:14" ht="14.25">
      <c r="A1" s="42" t="s">
        <v>470</v>
      </c>
      <c r="B1" s="43"/>
      <c r="C1" s="43"/>
      <c r="D1" s="43"/>
      <c r="E1" s="43"/>
      <c r="F1" s="43"/>
      <c r="G1" s="43"/>
      <c r="H1" s="43"/>
      <c r="I1" s="43"/>
      <c r="J1" s="43"/>
      <c r="K1" s="43"/>
      <c r="L1" s="51"/>
      <c r="M1" s="51"/>
      <c r="N1" s="51"/>
    </row>
    <row r="2" spans="1:14" ht="20.25">
      <c r="A2" s="44" t="s">
        <v>471</v>
      </c>
      <c r="B2" s="44"/>
      <c r="C2" s="44"/>
      <c r="D2" s="44"/>
      <c r="E2" s="44"/>
      <c r="F2" s="44"/>
      <c r="G2" s="44"/>
      <c r="H2" s="44"/>
      <c r="I2" s="44"/>
      <c r="J2" s="44"/>
      <c r="K2" s="44"/>
      <c r="L2" s="44"/>
      <c r="M2" s="44"/>
      <c r="N2" s="44"/>
    </row>
    <row r="3" spans="1:14" ht="20.25">
      <c r="A3" s="44"/>
      <c r="B3" s="44"/>
      <c r="C3" s="44"/>
      <c r="D3" s="44"/>
      <c r="E3" s="44"/>
      <c r="F3" s="44"/>
      <c r="G3" s="44"/>
      <c r="H3" s="44"/>
      <c r="I3" s="44"/>
      <c r="J3" s="44"/>
      <c r="K3" s="44"/>
      <c r="L3" s="52"/>
      <c r="M3" s="35"/>
      <c r="N3" s="52" t="s">
        <v>431</v>
      </c>
    </row>
    <row r="4" spans="1:14" ht="13.5">
      <c r="A4" s="20" t="s">
        <v>228</v>
      </c>
      <c r="B4" s="20" t="s">
        <v>6</v>
      </c>
      <c r="C4" s="20"/>
      <c r="D4" s="20"/>
      <c r="E4" s="20"/>
      <c r="F4" s="20"/>
      <c r="G4" s="20"/>
      <c r="H4" s="20"/>
      <c r="I4" s="20"/>
      <c r="J4" s="20" t="s">
        <v>472</v>
      </c>
      <c r="K4" s="20"/>
      <c r="L4" s="20" t="s">
        <v>473</v>
      </c>
      <c r="M4" s="20" t="s">
        <v>474</v>
      </c>
      <c r="N4" s="20" t="s">
        <v>475</v>
      </c>
    </row>
    <row r="5" spans="1:14" ht="24">
      <c r="A5" s="20"/>
      <c r="B5" s="20" t="s">
        <v>476</v>
      </c>
      <c r="C5" s="20" t="s">
        <v>477</v>
      </c>
      <c r="D5" s="20"/>
      <c r="E5" s="20" t="s">
        <v>478</v>
      </c>
      <c r="F5" s="20"/>
      <c r="G5" s="20"/>
      <c r="H5" s="20"/>
      <c r="I5" s="20" t="s">
        <v>479</v>
      </c>
      <c r="J5" s="20" t="s">
        <v>236</v>
      </c>
      <c r="K5" s="20" t="s">
        <v>460</v>
      </c>
      <c r="L5" s="20"/>
      <c r="M5" s="20"/>
      <c r="N5" s="20"/>
    </row>
    <row r="6" spans="1:14" ht="13.5">
      <c r="A6" s="20"/>
      <c r="B6" s="20" t="s">
        <v>237</v>
      </c>
      <c r="C6" s="20" t="s">
        <v>237</v>
      </c>
      <c r="D6" s="20" t="s">
        <v>238</v>
      </c>
      <c r="E6" s="20" t="s">
        <v>237</v>
      </c>
      <c r="F6" s="20" t="s">
        <v>238</v>
      </c>
      <c r="G6" s="20" t="s">
        <v>239</v>
      </c>
      <c r="H6" s="20" t="s">
        <v>240</v>
      </c>
      <c r="I6" s="20"/>
      <c r="J6" s="20"/>
      <c r="K6" s="20"/>
      <c r="L6" s="20"/>
      <c r="M6" s="20"/>
      <c r="N6" s="20"/>
    </row>
    <row r="7" spans="1:14" ht="48">
      <c r="A7" s="24" t="s">
        <v>241</v>
      </c>
      <c r="B7" s="24" t="s">
        <v>209</v>
      </c>
      <c r="C7" s="24" t="s">
        <v>210</v>
      </c>
      <c r="D7" s="24" t="s">
        <v>211</v>
      </c>
      <c r="E7" s="24" t="s">
        <v>212</v>
      </c>
      <c r="F7" s="24" t="s">
        <v>213</v>
      </c>
      <c r="G7" s="24" t="s">
        <v>214</v>
      </c>
      <c r="H7" s="24" t="s">
        <v>260</v>
      </c>
      <c r="I7" s="24" t="s">
        <v>480</v>
      </c>
      <c r="J7" s="24" t="s">
        <v>217</v>
      </c>
      <c r="K7" s="24" t="s">
        <v>481</v>
      </c>
      <c r="L7" s="24" t="s">
        <v>482</v>
      </c>
      <c r="M7" s="24" t="s">
        <v>220</v>
      </c>
      <c r="N7" s="24" t="s">
        <v>483</v>
      </c>
    </row>
    <row r="8" spans="1:14" ht="13.5">
      <c r="A8" s="20" t="s">
        <v>4</v>
      </c>
      <c r="B8" s="45">
        <f aca="true" t="shared" si="0" ref="B8:N8">SUM(B9:B24)</f>
        <v>84</v>
      </c>
      <c r="C8" s="45">
        <f t="shared" si="0"/>
        <v>180</v>
      </c>
      <c r="D8" s="45">
        <f t="shared" si="0"/>
        <v>900</v>
      </c>
      <c r="E8" s="45">
        <f t="shared" si="0"/>
        <v>180</v>
      </c>
      <c r="F8" s="45">
        <f t="shared" si="0"/>
        <v>900</v>
      </c>
      <c r="G8" s="45">
        <f t="shared" si="0"/>
        <v>2250</v>
      </c>
      <c r="H8" s="45">
        <f t="shared" si="0"/>
        <v>2250</v>
      </c>
      <c r="I8" s="53">
        <f t="shared" si="0"/>
        <v>11682</v>
      </c>
      <c r="J8" s="45">
        <f t="shared" si="0"/>
        <v>1000</v>
      </c>
      <c r="K8" s="53">
        <f t="shared" si="0"/>
        <v>385.01000000000005</v>
      </c>
      <c r="L8" s="53">
        <f t="shared" si="0"/>
        <v>12067.009999999998</v>
      </c>
      <c r="M8" s="53">
        <f t="shared" si="0"/>
        <v>-217</v>
      </c>
      <c r="N8" s="53">
        <f t="shared" si="0"/>
        <v>11850.009999999998</v>
      </c>
    </row>
    <row r="9" spans="1:14" ht="13.5">
      <c r="A9" s="46" t="s">
        <v>45</v>
      </c>
      <c r="B9" s="47">
        <v>0</v>
      </c>
      <c r="C9" s="47">
        <v>0</v>
      </c>
      <c r="D9" s="47">
        <v>0</v>
      </c>
      <c r="E9" s="47">
        <v>0</v>
      </c>
      <c r="F9" s="47">
        <v>0</v>
      </c>
      <c r="G9" s="24">
        <v>0</v>
      </c>
      <c r="H9" s="24">
        <v>0</v>
      </c>
      <c r="I9" s="27">
        <f aca="true" t="shared" si="1" ref="I9:I24">(B9+C9+E9)*3+(D9+F9+G9)*2+H9*1</f>
        <v>0</v>
      </c>
      <c r="J9" s="47">
        <v>200</v>
      </c>
      <c r="K9" s="27">
        <f aca="true" t="shared" si="2" ref="K9:K24">ROUND(J9*0.385,2)</f>
        <v>77</v>
      </c>
      <c r="L9" s="27">
        <f aca="true" t="shared" si="3" ref="L9:L24">I9+K9</f>
        <v>77</v>
      </c>
      <c r="M9" s="54">
        <v>0</v>
      </c>
      <c r="N9" s="55">
        <f aca="true" t="shared" si="4" ref="N9:N24">L9+M9</f>
        <v>77</v>
      </c>
    </row>
    <row r="10" spans="1:14" ht="13.5">
      <c r="A10" s="46" t="s">
        <v>46</v>
      </c>
      <c r="B10" s="48">
        <v>2</v>
      </c>
      <c r="C10" s="24">
        <v>16</v>
      </c>
      <c r="D10" s="24">
        <v>81</v>
      </c>
      <c r="E10" s="24">
        <v>16</v>
      </c>
      <c r="F10" s="24">
        <v>82</v>
      </c>
      <c r="G10" s="24">
        <v>206</v>
      </c>
      <c r="H10" s="24">
        <v>206</v>
      </c>
      <c r="I10" s="27">
        <f t="shared" si="1"/>
        <v>1046</v>
      </c>
      <c r="J10" s="24">
        <v>72</v>
      </c>
      <c r="K10" s="27">
        <f t="shared" si="2"/>
        <v>27.72</v>
      </c>
      <c r="L10" s="27">
        <f t="shared" si="3"/>
        <v>1073.72</v>
      </c>
      <c r="M10" s="54">
        <v>-168</v>
      </c>
      <c r="N10" s="55">
        <f t="shared" si="4"/>
        <v>905.72</v>
      </c>
    </row>
    <row r="11" spans="1:14" ht="13.5">
      <c r="A11" s="46" t="s">
        <v>48</v>
      </c>
      <c r="B11" s="48">
        <v>6</v>
      </c>
      <c r="C11" s="24">
        <v>9</v>
      </c>
      <c r="D11" s="24">
        <v>43</v>
      </c>
      <c r="E11" s="24">
        <v>9</v>
      </c>
      <c r="F11" s="24">
        <v>44</v>
      </c>
      <c r="G11" s="24">
        <v>109</v>
      </c>
      <c r="H11" s="24">
        <v>109</v>
      </c>
      <c r="I11" s="27">
        <f t="shared" si="1"/>
        <v>573</v>
      </c>
      <c r="J11" s="24">
        <v>38</v>
      </c>
      <c r="K11" s="27">
        <f t="shared" si="2"/>
        <v>14.63</v>
      </c>
      <c r="L11" s="27">
        <f t="shared" si="3"/>
        <v>587.63</v>
      </c>
      <c r="M11" s="54">
        <v>-8</v>
      </c>
      <c r="N11" s="55">
        <f t="shared" si="4"/>
        <v>579.63</v>
      </c>
    </row>
    <row r="12" spans="1:14" ht="13.5">
      <c r="A12" s="46" t="s">
        <v>49</v>
      </c>
      <c r="B12" s="48">
        <v>0</v>
      </c>
      <c r="C12" s="24">
        <v>9</v>
      </c>
      <c r="D12" s="24">
        <v>45</v>
      </c>
      <c r="E12" s="24">
        <v>9</v>
      </c>
      <c r="F12" s="24">
        <v>45</v>
      </c>
      <c r="G12" s="24">
        <v>130</v>
      </c>
      <c r="H12" s="24">
        <v>130</v>
      </c>
      <c r="I12" s="27">
        <f t="shared" si="1"/>
        <v>624</v>
      </c>
      <c r="J12" s="24">
        <v>40</v>
      </c>
      <c r="K12" s="27">
        <f t="shared" si="2"/>
        <v>15.4</v>
      </c>
      <c r="L12" s="27">
        <f t="shared" si="3"/>
        <v>639.4</v>
      </c>
      <c r="M12" s="54">
        <v>-72</v>
      </c>
      <c r="N12" s="55">
        <f t="shared" si="4"/>
        <v>567.4</v>
      </c>
    </row>
    <row r="13" spans="1:14" ht="13.5">
      <c r="A13" s="46" t="s">
        <v>50</v>
      </c>
      <c r="B13" s="48">
        <v>5</v>
      </c>
      <c r="C13" s="24">
        <v>13</v>
      </c>
      <c r="D13" s="24">
        <v>65</v>
      </c>
      <c r="E13" s="24">
        <v>13</v>
      </c>
      <c r="F13" s="24">
        <v>64</v>
      </c>
      <c r="G13" s="24">
        <v>160</v>
      </c>
      <c r="H13" s="24">
        <v>160</v>
      </c>
      <c r="I13" s="27">
        <f t="shared" si="1"/>
        <v>831</v>
      </c>
      <c r="J13" s="24">
        <v>58</v>
      </c>
      <c r="K13" s="27">
        <f t="shared" si="2"/>
        <v>22.33</v>
      </c>
      <c r="L13" s="27">
        <f t="shared" si="3"/>
        <v>853.33</v>
      </c>
      <c r="M13" s="54">
        <v>-127</v>
      </c>
      <c r="N13" s="55">
        <f t="shared" si="4"/>
        <v>726.33</v>
      </c>
    </row>
    <row r="14" spans="1:14" ht="13.5">
      <c r="A14" s="46" t="s">
        <v>51</v>
      </c>
      <c r="B14" s="48">
        <v>15</v>
      </c>
      <c r="C14" s="24">
        <v>14</v>
      </c>
      <c r="D14" s="24">
        <v>70</v>
      </c>
      <c r="E14" s="24">
        <v>14</v>
      </c>
      <c r="F14" s="24">
        <v>71</v>
      </c>
      <c r="G14" s="24">
        <v>156</v>
      </c>
      <c r="H14" s="24">
        <v>156</v>
      </c>
      <c r="I14" s="27">
        <f t="shared" si="1"/>
        <v>879</v>
      </c>
      <c r="J14" s="24">
        <v>62</v>
      </c>
      <c r="K14" s="27">
        <f t="shared" si="2"/>
        <v>23.87</v>
      </c>
      <c r="L14" s="27">
        <f t="shared" si="3"/>
        <v>902.87</v>
      </c>
      <c r="M14" s="54">
        <v>247</v>
      </c>
      <c r="N14" s="55">
        <f t="shared" si="4"/>
        <v>1149.87</v>
      </c>
    </row>
    <row r="15" spans="1:14" ht="13.5">
      <c r="A15" s="46" t="s">
        <v>52</v>
      </c>
      <c r="B15" s="48">
        <v>10</v>
      </c>
      <c r="C15" s="24">
        <v>9</v>
      </c>
      <c r="D15" s="24">
        <v>43</v>
      </c>
      <c r="E15" s="24">
        <v>9</v>
      </c>
      <c r="F15" s="24">
        <v>44</v>
      </c>
      <c r="G15" s="24">
        <v>109</v>
      </c>
      <c r="H15" s="24">
        <v>109</v>
      </c>
      <c r="I15" s="27">
        <f t="shared" si="1"/>
        <v>585</v>
      </c>
      <c r="J15" s="24">
        <v>38</v>
      </c>
      <c r="K15" s="27">
        <f t="shared" si="2"/>
        <v>14.63</v>
      </c>
      <c r="L15" s="27">
        <f t="shared" si="3"/>
        <v>599.63</v>
      </c>
      <c r="M15" s="54">
        <v>10</v>
      </c>
      <c r="N15" s="55">
        <f t="shared" si="4"/>
        <v>609.63</v>
      </c>
    </row>
    <row r="16" spans="1:14" ht="13.5">
      <c r="A16" s="46" t="s">
        <v>55</v>
      </c>
      <c r="B16" s="48">
        <v>1</v>
      </c>
      <c r="C16" s="24">
        <v>7</v>
      </c>
      <c r="D16" s="24">
        <v>32</v>
      </c>
      <c r="E16" s="24">
        <v>7</v>
      </c>
      <c r="F16" s="24">
        <v>32</v>
      </c>
      <c r="G16" s="24">
        <v>79</v>
      </c>
      <c r="H16" s="24">
        <v>79</v>
      </c>
      <c r="I16" s="27">
        <f t="shared" si="1"/>
        <v>410</v>
      </c>
      <c r="J16" s="24">
        <v>30</v>
      </c>
      <c r="K16" s="27">
        <f t="shared" si="2"/>
        <v>11.55</v>
      </c>
      <c r="L16" s="27">
        <f t="shared" si="3"/>
        <v>421.55</v>
      </c>
      <c r="M16" s="54">
        <v>112</v>
      </c>
      <c r="N16" s="55">
        <f t="shared" si="4"/>
        <v>533.55</v>
      </c>
    </row>
    <row r="17" spans="1:14" ht="13.5">
      <c r="A17" s="46" t="s">
        <v>56</v>
      </c>
      <c r="B17" s="48">
        <v>1</v>
      </c>
      <c r="C17" s="24">
        <v>7</v>
      </c>
      <c r="D17" s="24">
        <v>36</v>
      </c>
      <c r="E17" s="24">
        <v>7</v>
      </c>
      <c r="F17" s="24">
        <v>37</v>
      </c>
      <c r="G17" s="24">
        <v>81</v>
      </c>
      <c r="H17" s="24">
        <v>81</v>
      </c>
      <c r="I17" s="27">
        <f t="shared" si="1"/>
        <v>434</v>
      </c>
      <c r="J17" s="24">
        <v>32</v>
      </c>
      <c r="K17" s="27">
        <f t="shared" si="2"/>
        <v>12.32</v>
      </c>
      <c r="L17" s="27">
        <f t="shared" si="3"/>
        <v>446.32</v>
      </c>
      <c r="M17" s="54">
        <v>-35</v>
      </c>
      <c r="N17" s="55">
        <f t="shared" si="4"/>
        <v>411.32</v>
      </c>
    </row>
    <row r="18" spans="1:14" ht="13.5">
      <c r="A18" s="46" t="s">
        <v>57</v>
      </c>
      <c r="B18" s="48">
        <v>5</v>
      </c>
      <c r="C18" s="24">
        <v>21</v>
      </c>
      <c r="D18" s="24">
        <v>106</v>
      </c>
      <c r="E18" s="24">
        <v>21</v>
      </c>
      <c r="F18" s="24">
        <v>107</v>
      </c>
      <c r="G18" s="24">
        <v>240</v>
      </c>
      <c r="H18" s="24">
        <v>240</v>
      </c>
      <c r="I18" s="27">
        <f t="shared" si="1"/>
        <v>1287</v>
      </c>
      <c r="J18" s="24">
        <v>94</v>
      </c>
      <c r="K18" s="27">
        <f t="shared" si="2"/>
        <v>36.19</v>
      </c>
      <c r="L18" s="27">
        <f t="shared" si="3"/>
        <v>1323.19</v>
      </c>
      <c r="M18" s="54">
        <v>-225</v>
      </c>
      <c r="N18" s="55">
        <f t="shared" si="4"/>
        <v>1098.19</v>
      </c>
    </row>
    <row r="19" spans="1:14" ht="13.5">
      <c r="A19" s="46" t="s">
        <v>58</v>
      </c>
      <c r="B19" s="49">
        <v>16</v>
      </c>
      <c r="C19" s="24">
        <v>18</v>
      </c>
      <c r="D19" s="24">
        <v>90</v>
      </c>
      <c r="E19" s="24">
        <v>18</v>
      </c>
      <c r="F19" s="24">
        <v>92</v>
      </c>
      <c r="G19" s="24">
        <v>231</v>
      </c>
      <c r="H19" s="24">
        <v>231</v>
      </c>
      <c r="I19" s="27">
        <f t="shared" si="1"/>
        <v>1213</v>
      </c>
      <c r="J19" s="24">
        <v>80</v>
      </c>
      <c r="K19" s="27">
        <f t="shared" si="2"/>
        <v>30.8</v>
      </c>
      <c r="L19" s="27">
        <f t="shared" si="3"/>
        <v>1243.8</v>
      </c>
      <c r="M19" s="54">
        <v>287</v>
      </c>
      <c r="N19" s="55">
        <f t="shared" si="4"/>
        <v>1530.8</v>
      </c>
    </row>
    <row r="20" spans="1:14" ht="13.5">
      <c r="A20" s="46" t="s">
        <v>59</v>
      </c>
      <c r="B20" s="49">
        <v>1</v>
      </c>
      <c r="C20" s="24">
        <v>11</v>
      </c>
      <c r="D20" s="24">
        <v>60</v>
      </c>
      <c r="E20" s="24">
        <v>12</v>
      </c>
      <c r="F20" s="24">
        <v>61</v>
      </c>
      <c r="G20" s="24">
        <v>152</v>
      </c>
      <c r="H20" s="24">
        <v>152</v>
      </c>
      <c r="I20" s="27">
        <f t="shared" si="1"/>
        <v>770</v>
      </c>
      <c r="J20" s="24">
        <v>53</v>
      </c>
      <c r="K20" s="27">
        <f t="shared" si="2"/>
        <v>20.41</v>
      </c>
      <c r="L20" s="27">
        <f t="shared" si="3"/>
        <v>790.41</v>
      </c>
      <c r="M20" s="54">
        <v>-7</v>
      </c>
      <c r="N20" s="55">
        <f t="shared" si="4"/>
        <v>783.41</v>
      </c>
    </row>
    <row r="21" spans="1:14" ht="13.5">
      <c r="A21" s="46" t="s">
        <v>60</v>
      </c>
      <c r="B21" s="48">
        <v>3</v>
      </c>
      <c r="C21" s="24">
        <v>13</v>
      </c>
      <c r="D21" s="24">
        <v>63</v>
      </c>
      <c r="E21" s="24">
        <v>12</v>
      </c>
      <c r="F21" s="24">
        <v>57</v>
      </c>
      <c r="G21" s="24">
        <v>143</v>
      </c>
      <c r="H21" s="24">
        <v>143</v>
      </c>
      <c r="I21" s="27">
        <f t="shared" si="1"/>
        <v>753</v>
      </c>
      <c r="J21" s="24">
        <v>56</v>
      </c>
      <c r="K21" s="27">
        <f t="shared" si="2"/>
        <v>21.56</v>
      </c>
      <c r="L21" s="27">
        <f t="shared" si="3"/>
        <v>774.56</v>
      </c>
      <c r="M21" s="54">
        <v>-31</v>
      </c>
      <c r="N21" s="55">
        <f t="shared" si="4"/>
        <v>743.56</v>
      </c>
    </row>
    <row r="22" spans="1:14" ht="13.5">
      <c r="A22" s="46" t="s">
        <v>61</v>
      </c>
      <c r="B22" s="48">
        <v>0</v>
      </c>
      <c r="C22" s="24">
        <v>8</v>
      </c>
      <c r="D22" s="24">
        <v>40</v>
      </c>
      <c r="E22" s="24">
        <v>8</v>
      </c>
      <c r="F22" s="24">
        <v>39</v>
      </c>
      <c r="G22" s="24">
        <v>97</v>
      </c>
      <c r="H22" s="24">
        <v>97</v>
      </c>
      <c r="I22" s="27">
        <f t="shared" si="1"/>
        <v>497</v>
      </c>
      <c r="J22" s="24">
        <v>35</v>
      </c>
      <c r="K22" s="27">
        <f t="shared" si="2"/>
        <v>13.48</v>
      </c>
      <c r="L22" s="27">
        <f t="shared" si="3"/>
        <v>510.48</v>
      </c>
      <c r="M22" s="54">
        <v>-71</v>
      </c>
      <c r="N22" s="55">
        <f t="shared" si="4"/>
        <v>439.48</v>
      </c>
    </row>
    <row r="23" spans="1:14" ht="13.5">
      <c r="A23" s="46" t="s">
        <v>62</v>
      </c>
      <c r="B23" s="48">
        <v>14</v>
      </c>
      <c r="C23" s="24">
        <v>18</v>
      </c>
      <c r="D23" s="24">
        <v>90</v>
      </c>
      <c r="E23" s="24">
        <v>18</v>
      </c>
      <c r="F23" s="24">
        <v>88</v>
      </c>
      <c r="G23" s="24">
        <v>252</v>
      </c>
      <c r="H23" s="24">
        <v>252</v>
      </c>
      <c r="I23" s="27">
        <f t="shared" si="1"/>
        <v>1262</v>
      </c>
      <c r="J23" s="24">
        <v>80</v>
      </c>
      <c r="K23" s="27">
        <f t="shared" si="2"/>
        <v>30.8</v>
      </c>
      <c r="L23" s="27">
        <f t="shared" si="3"/>
        <v>1292.8</v>
      </c>
      <c r="M23" s="54">
        <v>-123</v>
      </c>
      <c r="N23" s="55">
        <f t="shared" si="4"/>
        <v>1169.8</v>
      </c>
    </row>
    <row r="24" spans="1:14" ht="13.5">
      <c r="A24" s="46" t="s">
        <v>63</v>
      </c>
      <c r="B24" s="49">
        <v>5</v>
      </c>
      <c r="C24" s="24">
        <v>7</v>
      </c>
      <c r="D24" s="24">
        <v>36</v>
      </c>
      <c r="E24" s="24">
        <v>7</v>
      </c>
      <c r="F24" s="24">
        <v>37</v>
      </c>
      <c r="G24" s="24">
        <v>105</v>
      </c>
      <c r="H24" s="24">
        <v>105</v>
      </c>
      <c r="I24" s="27">
        <f t="shared" si="1"/>
        <v>518</v>
      </c>
      <c r="J24" s="24">
        <v>32</v>
      </c>
      <c r="K24" s="27">
        <f t="shared" si="2"/>
        <v>12.32</v>
      </c>
      <c r="L24" s="27">
        <f t="shared" si="3"/>
        <v>530.32</v>
      </c>
      <c r="M24" s="54">
        <v>-6</v>
      </c>
      <c r="N24" s="55">
        <f t="shared" si="4"/>
        <v>524.32</v>
      </c>
    </row>
    <row r="25" spans="1:14" ht="13.5">
      <c r="A25" s="50" t="s">
        <v>465</v>
      </c>
      <c r="B25" s="50"/>
      <c r="C25" s="50"/>
      <c r="D25" s="50"/>
      <c r="E25" s="50"/>
      <c r="F25" s="50"/>
      <c r="G25" s="50"/>
      <c r="H25" s="50"/>
      <c r="I25" s="50"/>
      <c r="J25" s="50"/>
      <c r="K25" s="50"/>
      <c r="L25" s="50"/>
      <c r="M25" s="50"/>
      <c r="N25" s="50"/>
    </row>
  </sheetData>
  <sheetProtection/>
  <mergeCells count="13">
    <mergeCell ref="A2:N2"/>
    <mergeCell ref="B4:I4"/>
    <mergeCell ref="J4:K4"/>
    <mergeCell ref="C5:D5"/>
    <mergeCell ref="E5:H5"/>
    <mergeCell ref="A25:N25"/>
    <mergeCell ref="A4:A6"/>
    <mergeCell ref="I5:I6"/>
    <mergeCell ref="J5:J6"/>
    <mergeCell ref="K5:K6"/>
    <mergeCell ref="L4:L6"/>
    <mergeCell ref="M4:M6"/>
    <mergeCell ref="N4:N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O57"/>
  <sheetViews>
    <sheetView zoomScaleSheetLayoutView="100" workbookViewId="0" topLeftCell="F1">
      <selection activeCell="A1" sqref="A1:O57"/>
    </sheetView>
  </sheetViews>
  <sheetFormatPr defaultColWidth="8.7109375" defaultRowHeight="15"/>
  <sheetData>
    <row r="1" spans="1:15" ht="14.25">
      <c r="A1" s="1" t="s">
        <v>484</v>
      </c>
      <c r="B1" s="2"/>
      <c r="C1" s="2"/>
      <c r="D1" s="3"/>
      <c r="E1" s="4"/>
      <c r="F1" s="2"/>
      <c r="G1" s="4"/>
      <c r="H1" s="4"/>
      <c r="I1" s="4"/>
      <c r="J1" s="4"/>
      <c r="K1" s="34"/>
      <c r="L1" s="35"/>
      <c r="M1" s="35"/>
      <c r="N1" s="35"/>
      <c r="O1" s="35"/>
    </row>
    <row r="2" spans="1:15" ht="19.5">
      <c r="A2" s="5" t="s">
        <v>485</v>
      </c>
      <c r="B2" s="5"/>
      <c r="C2" s="5"/>
      <c r="D2" s="5"/>
      <c r="E2" s="5"/>
      <c r="F2" s="5"/>
      <c r="G2" s="5"/>
      <c r="H2" s="5"/>
      <c r="I2" s="5"/>
      <c r="J2" s="5"/>
      <c r="K2" s="5"/>
      <c r="L2" s="5"/>
      <c r="M2" s="5"/>
      <c r="N2" s="5"/>
      <c r="O2" s="5"/>
    </row>
    <row r="3" spans="1:15" ht="19.5">
      <c r="A3" s="5"/>
      <c r="B3" s="6"/>
      <c r="C3" s="6"/>
      <c r="D3" s="7"/>
      <c r="E3" s="8"/>
      <c r="F3" s="6"/>
      <c r="G3" s="8"/>
      <c r="H3" s="8"/>
      <c r="I3" s="8"/>
      <c r="J3" s="8"/>
      <c r="K3" s="36"/>
      <c r="L3" s="35"/>
      <c r="M3" s="36"/>
      <c r="N3" s="35"/>
      <c r="O3" s="36" t="s">
        <v>431</v>
      </c>
    </row>
    <row r="4" spans="1:15" ht="13.5">
      <c r="A4" s="9" t="s">
        <v>228</v>
      </c>
      <c r="B4" s="10" t="s">
        <v>5</v>
      </c>
      <c r="C4" s="10"/>
      <c r="D4" s="11"/>
      <c r="E4" s="10"/>
      <c r="F4" s="10" t="s">
        <v>104</v>
      </c>
      <c r="G4" s="10"/>
      <c r="H4" s="10" t="s">
        <v>105</v>
      </c>
      <c r="I4" s="10"/>
      <c r="J4" s="10" t="s">
        <v>106</v>
      </c>
      <c r="K4" s="37" t="s">
        <v>473</v>
      </c>
      <c r="L4" s="38" t="s">
        <v>486</v>
      </c>
      <c r="M4" s="37" t="s">
        <v>487</v>
      </c>
      <c r="N4" s="37" t="s">
        <v>488</v>
      </c>
      <c r="O4" s="37" t="s">
        <v>475</v>
      </c>
    </row>
    <row r="5" spans="1:15" ht="54">
      <c r="A5" s="12"/>
      <c r="B5" s="10" t="s">
        <v>489</v>
      </c>
      <c r="C5" s="10" t="s">
        <v>490</v>
      </c>
      <c r="D5" s="10" t="s">
        <v>491</v>
      </c>
      <c r="E5" s="10" t="s">
        <v>112</v>
      </c>
      <c r="F5" s="13" t="s">
        <v>492</v>
      </c>
      <c r="G5" s="13" t="s">
        <v>112</v>
      </c>
      <c r="H5" s="10" t="s">
        <v>493</v>
      </c>
      <c r="I5" s="10" t="s">
        <v>494</v>
      </c>
      <c r="J5" s="10"/>
      <c r="K5" s="39"/>
      <c r="L5" s="40"/>
      <c r="M5" s="39"/>
      <c r="N5" s="39"/>
      <c r="O5" s="39"/>
    </row>
    <row r="6" spans="1:15" ht="33.75">
      <c r="A6" s="14" t="s">
        <v>241</v>
      </c>
      <c r="B6" s="15" t="s">
        <v>209</v>
      </c>
      <c r="C6" s="15" t="s">
        <v>210</v>
      </c>
      <c r="D6" s="15" t="s">
        <v>211</v>
      </c>
      <c r="E6" s="16" t="s">
        <v>442</v>
      </c>
      <c r="F6" s="17" t="s">
        <v>213</v>
      </c>
      <c r="G6" s="18" t="s">
        <v>443</v>
      </c>
      <c r="H6" s="18" t="s">
        <v>260</v>
      </c>
      <c r="I6" s="18" t="s">
        <v>216</v>
      </c>
      <c r="J6" s="18" t="s">
        <v>217</v>
      </c>
      <c r="K6" s="41" t="s">
        <v>444</v>
      </c>
      <c r="L6" s="41" t="s">
        <v>334</v>
      </c>
      <c r="M6" s="41" t="s">
        <v>495</v>
      </c>
      <c r="N6" s="41" t="s">
        <v>263</v>
      </c>
      <c r="O6" s="41" t="s">
        <v>496</v>
      </c>
    </row>
    <row r="7" spans="1:15" ht="13.5">
      <c r="A7" s="19" t="s">
        <v>4</v>
      </c>
      <c r="B7" s="20">
        <f aca="true" t="shared" si="0" ref="B7:O7">B8+B37+B55</f>
        <v>3462</v>
      </c>
      <c r="C7" s="20">
        <f t="shared" si="0"/>
        <v>4100</v>
      </c>
      <c r="D7" s="20">
        <f t="shared" si="0"/>
        <v>2118</v>
      </c>
      <c r="E7" s="21">
        <f t="shared" si="0"/>
        <v>14505</v>
      </c>
      <c r="F7" s="20">
        <f t="shared" si="0"/>
        <v>1000</v>
      </c>
      <c r="G7" s="21">
        <f t="shared" si="0"/>
        <v>385</v>
      </c>
      <c r="H7" s="21">
        <f t="shared" si="0"/>
        <v>90</v>
      </c>
      <c r="I7" s="21">
        <f t="shared" si="0"/>
        <v>200</v>
      </c>
      <c r="J7" s="21">
        <f t="shared" si="0"/>
        <v>150</v>
      </c>
      <c r="K7" s="21">
        <f t="shared" si="0"/>
        <v>15330</v>
      </c>
      <c r="L7" s="21">
        <f t="shared" si="0"/>
        <v>91.5</v>
      </c>
      <c r="M7" s="21">
        <f t="shared" si="0"/>
        <v>15421.5</v>
      </c>
      <c r="N7" s="21">
        <f t="shared" si="0"/>
        <v>0</v>
      </c>
      <c r="O7" s="21">
        <f t="shared" si="0"/>
        <v>15436.5</v>
      </c>
    </row>
    <row r="8" spans="1:15" ht="24">
      <c r="A8" s="19" t="s">
        <v>10</v>
      </c>
      <c r="B8" s="20">
        <f aca="true" t="shared" si="1" ref="B8:O8">SUM(B9:B36)/2</f>
        <v>1260</v>
      </c>
      <c r="C8" s="20">
        <f t="shared" si="1"/>
        <v>1473</v>
      </c>
      <c r="D8" s="20">
        <f t="shared" si="1"/>
        <v>845</v>
      </c>
      <c r="E8" s="21">
        <f t="shared" si="1"/>
        <v>5367</v>
      </c>
      <c r="F8" s="20">
        <f t="shared" si="1"/>
        <v>700</v>
      </c>
      <c r="G8" s="21">
        <f t="shared" si="1"/>
        <v>269.5</v>
      </c>
      <c r="H8" s="21">
        <f t="shared" si="1"/>
        <v>90</v>
      </c>
      <c r="I8" s="21">
        <f t="shared" si="1"/>
        <v>200</v>
      </c>
      <c r="J8" s="21">
        <f t="shared" si="1"/>
        <v>150</v>
      </c>
      <c r="K8" s="21">
        <f t="shared" si="1"/>
        <v>6076.5</v>
      </c>
      <c r="L8" s="21">
        <f t="shared" si="1"/>
        <v>-1327.5</v>
      </c>
      <c r="M8" s="21">
        <f t="shared" si="1"/>
        <v>4749</v>
      </c>
      <c r="N8" s="21">
        <f t="shared" si="1"/>
        <v>0</v>
      </c>
      <c r="O8" s="21">
        <f t="shared" si="1"/>
        <v>4749</v>
      </c>
    </row>
    <row r="9" spans="1:15" ht="24">
      <c r="A9" s="19" t="s">
        <v>129</v>
      </c>
      <c r="B9" s="20">
        <f aca="true" t="shared" si="2" ref="B9:O9">SUM(B10:B29)</f>
        <v>943</v>
      </c>
      <c r="C9" s="20">
        <f t="shared" si="2"/>
        <v>1134</v>
      </c>
      <c r="D9" s="20">
        <f t="shared" si="2"/>
        <v>590</v>
      </c>
      <c r="E9" s="21">
        <f t="shared" si="2"/>
        <v>4000.5</v>
      </c>
      <c r="F9" s="20">
        <f t="shared" si="2"/>
        <v>700</v>
      </c>
      <c r="G9" s="21">
        <f t="shared" si="2"/>
        <v>269.5</v>
      </c>
      <c r="H9" s="21">
        <f t="shared" si="2"/>
        <v>0</v>
      </c>
      <c r="I9" s="21">
        <f t="shared" si="2"/>
        <v>0</v>
      </c>
      <c r="J9" s="21">
        <f t="shared" si="2"/>
        <v>150</v>
      </c>
      <c r="K9" s="21">
        <f t="shared" si="2"/>
        <v>4420</v>
      </c>
      <c r="L9" s="21">
        <f t="shared" si="2"/>
        <v>-1017</v>
      </c>
      <c r="M9" s="21">
        <f t="shared" si="2"/>
        <v>3403</v>
      </c>
      <c r="N9" s="21">
        <f t="shared" si="2"/>
        <v>0</v>
      </c>
      <c r="O9" s="21">
        <f t="shared" si="2"/>
        <v>3403</v>
      </c>
    </row>
    <row r="10" spans="1:15" ht="24">
      <c r="A10" s="22" t="s">
        <v>497</v>
      </c>
      <c r="B10" s="23"/>
      <c r="C10" s="24"/>
      <c r="D10" s="24"/>
      <c r="E10" s="25"/>
      <c r="F10" s="26"/>
      <c r="G10" s="27"/>
      <c r="H10" s="27"/>
      <c r="I10" s="27"/>
      <c r="J10" s="27">
        <v>150</v>
      </c>
      <c r="K10" s="27">
        <f aca="true" t="shared" si="3" ref="K10:K29">E10+G10+H10+I10+J10</f>
        <v>150</v>
      </c>
      <c r="L10" s="27">
        <v>0</v>
      </c>
      <c r="M10" s="27">
        <f aca="true" t="shared" si="4" ref="M10:M29">K10+L10</f>
        <v>150</v>
      </c>
      <c r="N10" s="27">
        <v>0</v>
      </c>
      <c r="O10" s="27">
        <f aca="true" t="shared" si="5" ref="O10:O29">M10-N10</f>
        <v>150</v>
      </c>
    </row>
    <row r="11" spans="1:15" ht="24">
      <c r="A11" s="22" t="s">
        <v>12</v>
      </c>
      <c r="B11" s="23">
        <v>58</v>
      </c>
      <c r="C11" s="24">
        <v>58</v>
      </c>
      <c r="D11" s="24">
        <v>40</v>
      </c>
      <c r="E11" s="25">
        <f aca="true" t="shared" si="6" ref="E11:E29">SUM(B11:D11)*1.5</f>
        <v>234</v>
      </c>
      <c r="F11" s="28">
        <v>80</v>
      </c>
      <c r="G11" s="27">
        <f aca="true" t="shared" si="7" ref="G11:G29">ROUND(F11*0.385,2)</f>
        <v>30.8</v>
      </c>
      <c r="H11" s="27"/>
      <c r="I11" s="27"/>
      <c r="J11" s="27"/>
      <c r="K11" s="27">
        <f t="shared" si="3"/>
        <v>264.8</v>
      </c>
      <c r="L11" s="27">
        <v>-204</v>
      </c>
      <c r="M11" s="27">
        <f t="shared" si="4"/>
        <v>60.80000000000001</v>
      </c>
      <c r="N11" s="27">
        <v>0</v>
      </c>
      <c r="O11" s="27">
        <f t="shared" si="5"/>
        <v>60.80000000000001</v>
      </c>
    </row>
    <row r="12" spans="1:15" ht="24">
      <c r="A12" s="22" t="s">
        <v>14</v>
      </c>
      <c r="B12" s="23">
        <v>58</v>
      </c>
      <c r="C12" s="24">
        <v>65</v>
      </c>
      <c r="D12" s="24">
        <v>30</v>
      </c>
      <c r="E12" s="25">
        <f t="shared" si="6"/>
        <v>229.5</v>
      </c>
      <c r="F12" s="28"/>
      <c r="G12" s="27">
        <f t="shared" si="7"/>
        <v>0</v>
      </c>
      <c r="H12" s="27"/>
      <c r="I12" s="27"/>
      <c r="J12" s="27"/>
      <c r="K12" s="27">
        <f t="shared" si="3"/>
        <v>229.5</v>
      </c>
      <c r="L12" s="27">
        <v>31.5</v>
      </c>
      <c r="M12" s="27">
        <f t="shared" si="4"/>
        <v>261</v>
      </c>
      <c r="N12" s="27"/>
      <c r="O12" s="27">
        <f t="shared" si="5"/>
        <v>261</v>
      </c>
    </row>
    <row r="13" spans="1:15" ht="24">
      <c r="A13" s="29" t="s">
        <v>15</v>
      </c>
      <c r="B13" s="23">
        <v>15</v>
      </c>
      <c r="C13" s="24">
        <v>19</v>
      </c>
      <c r="D13" s="24">
        <v>20</v>
      </c>
      <c r="E13" s="25">
        <f t="shared" si="6"/>
        <v>81</v>
      </c>
      <c r="F13" s="28"/>
      <c r="G13" s="27">
        <f t="shared" si="7"/>
        <v>0</v>
      </c>
      <c r="H13" s="27"/>
      <c r="I13" s="27"/>
      <c r="J13" s="27"/>
      <c r="K13" s="27">
        <f t="shared" si="3"/>
        <v>81</v>
      </c>
      <c r="L13" s="27">
        <v>-153</v>
      </c>
      <c r="M13" s="27">
        <f t="shared" si="4"/>
        <v>-72</v>
      </c>
      <c r="N13" s="27">
        <v>-72</v>
      </c>
      <c r="O13" s="27">
        <f t="shared" si="5"/>
        <v>0</v>
      </c>
    </row>
    <row r="14" spans="1:15" ht="24">
      <c r="A14" s="22" t="s">
        <v>16</v>
      </c>
      <c r="B14" s="23">
        <v>39</v>
      </c>
      <c r="C14" s="24">
        <v>50</v>
      </c>
      <c r="D14" s="24">
        <v>20</v>
      </c>
      <c r="E14" s="25">
        <f t="shared" si="6"/>
        <v>163.5</v>
      </c>
      <c r="F14" s="28">
        <v>80</v>
      </c>
      <c r="G14" s="27">
        <f t="shared" si="7"/>
        <v>30.8</v>
      </c>
      <c r="H14" s="27"/>
      <c r="I14" s="27"/>
      <c r="J14" s="27"/>
      <c r="K14" s="27">
        <f t="shared" si="3"/>
        <v>194.3</v>
      </c>
      <c r="L14" s="27">
        <v>57</v>
      </c>
      <c r="M14" s="27">
        <f t="shared" si="4"/>
        <v>251.3</v>
      </c>
      <c r="N14" s="27">
        <v>0</v>
      </c>
      <c r="O14" s="27">
        <f t="shared" si="5"/>
        <v>251.3</v>
      </c>
    </row>
    <row r="15" spans="1:15" ht="36">
      <c r="A15" s="22" t="s">
        <v>17</v>
      </c>
      <c r="B15" s="23">
        <v>38</v>
      </c>
      <c r="C15" s="24">
        <v>47</v>
      </c>
      <c r="D15" s="24">
        <v>30</v>
      </c>
      <c r="E15" s="25">
        <f t="shared" si="6"/>
        <v>172.5</v>
      </c>
      <c r="F15" s="28">
        <v>80</v>
      </c>
      <c r="G15" s="27">
        <f t="shared" si="7"/>
        <v>30.8</v>
      </c>
      <c r="H15" s="27"/>
      <c r="I15" s="27"/>
      <c r="J15" s="27"/>
      <c r="K15" s="27">
        <f t="shared" si="3"/>
        <v>203.3</v>
      </c>
      <c r="L15" s="27">
        <v>-93</v>
      </c>
      <c r="M15" s="27">
        <f t="shared" si="4"/>
        <v>110.30000000000001</v>
      </c>
      <c r="N15" s="27">
        <v>0</v>
      </c>
      <c r="O15" s="27">
        <f t="shared" si="5"/>
        <v>110.30000000000001</v>
      </c>
    </row>
    <row r="16" spans="1:15" ht="24">
      <c r="A16" s="22" t="s">
        <v>13</v>
      </c>
      <c r="B16" s="23">
        <v>34</v>
      </c>
      <c r="C16" s="24">
        <v>76</v>
      </c>
      <c r="D16" s="24">
        <v>30</v>
      </c>
      <c r="E16" s="25">
        <f t="shared" si="6"/>
        <v>210</v>
      </c>
      <c r="F16" s="28"/>
      <c r="G16" s="27">
        <f t="shared" si="7"/>
        <v>0</v>
      </c>
      <c r="H16" s="27"/>
      <c r="I16" s="27"/>
      <c r="J16" s="27"/>
      <c r="K16" s="27">
        <f t="shared" si="3"/>
        <v>210</v>
      </c>
      <c r="L16" s="27">
        <v>-202.5</v>
      </c>
      <c r="M16" s="27">
        <f t="shared" si="4"/>
        <v>7.5</v>
      </c>
      <c r="N16" s="27">
        <v>0</v>
      </c>
      <c r="O16" s="27">
        <f t="shared" si="5"/>
        <v>7.5</v>
      </c>
    </row>
    <row r="17" spans="1:15" ht="24">
      <c r="A17" s="22" t="s">
        <v>18</v>
      </c>
      <c r="B17" s="23">
        <v>71</v>
      </c>
      <c r="C17" s="24">
        <v>83</v>
      </c>
      <c r="D17" s="24">
        <v>40</v>
      </c>
      <c r="E17" s="25">
        <f t="shared" si="6"/>
        <v>291</v>
      </c>
      <c r="F17" s="28">
        <v>100</v>
      </c>
      <c r="G17" s="27">
        <f t="shared" si="7"/>
        <v>38.5</v>
      </c>
      <c r="H17" s="27"/>
      <c r="I17" s="27"/>
      <c r="J17" s="27"/>
      <c r="K17" s="27">
        <f t="shared" si="3"/>
        <v>329.5</v>
      </c>
      <c r="L17" s="27">
        <v>-247.5</v>
      </c>
      <c r="M17" s="27">
        <f t="shared" si="4"/>
        <v>82</v>
      </c>
      <c r="N17" s="27">
        <v>0</v>
      </c>
      <c r="O17" s="27">
        <f t="shared" si="5"/>
        <v>82</v>
      </c>
    </row>
    <row r="18" spans="1:15" ht="24">
      <c r="A18" s="29" t="s">
        <v>19</v>
      </c>
      <c r="B18" s="23">
        <v>192</v>
      </c>
      <c r="C18" s="24">
        <v>202</v>
      </c>
      <c r="D18" s="24">
        <v>40</v>
      </c>
      <c r="E18" s="25">
        <f t="shared" si="6"/>
        <v>651</v>
      </c>
      <c r="F18" s="28"/>
      <c r="G18" s="27">
        <f t="shared" si="7"/>
        <v>0</v>
      </c>
      <c r="H18" s="27"/>
      <c r="I18" s="27"/>
      <c r="J18" s="27"/>
      <c r="K18" s="27">
        <f t="shared" si="3"/>
        <v>651</v>
      </c>
      <c r="L18" s="27">
        <v>375</v>
      </c>
      <c r="M18" s="27">
        <f t="shared" si="4"/>
        <v>1026</v>
      </c>
      <c r="N18" s="27">
        <v>72</v>
      </c>
      <c r="O18" s="27">
        <f t="shared" si="5"/>
        <v>954</v>
      </c>
    </row>
    <row r="19" spans="1:15" ht="36">
      <c r="A19" s="22" t="s">
        <v>498</v>
      </c>
      <c r="B19" s="23">
        <v>23</v>
      </c>
      <c r="C19" s="24">
        <v>13</v>
      </c>
      <c r="D19" s="24">
        <v>20</v>
      </c>
      <c r="E19" s="25">
        <f t="shared" si="6"/>
        <v>84</v>
      </c>
      <c r="F19" s="28"/>
      <c r="G19" s="27">
        <f t="shared" si="7"/>
        <v>0</v>
      </c>
      <c r="H19" s="27"/>
      <c r="I19" s="27"/>
      <c r="J19" s="27"/>
      <c r="K19" s="27">
        <f t="shared" si="3"/>
        <v>84</v>
      </c>
      <c r="L19" s="27">
        <v>-76.5</v>
      </c>
      <c r="M19" s="27">
        <f t="shared" si="4"/>
        <v>7.5</v>
      </c>
      <c r="N19" s="27">
        <v>0</v>
      </c>
      <c r="O19" s="27">
        <f t="shared" si="5"/>
        <v>7.5</v>
      </c>
    </row>
    <row r="20" spans="1:15" ht="36">
      <c r="A20" s="22" t="s">
        <v>22</v>
      </c>
      <c r="B20" s="23">
        <v>50</v>
      </c>
      <c r="C20" s="24">
        <v>63</v>
      </c>
      <c r="D20" s="24">
        <v>40</v>
      </c>
      <c r="E20" s="25">
        <f t="shared" si="6"/>
        <v>229.5</v>
      </c>
      <c r="F20" s="28">
        <v>80</v>
      </c>
      <c r="G20" s="27">
        <f t="shared" si="7"/>
        <v>30.8</v>
      </c>
      <c r="H20" s="27"/>
      <c r="I20" s="27"/>
      <c r="J20" s="27"/>
      <c r="K20" s="27">
        <f t="shared" si="3"/>
        <v>260.3</v>
      </c>
      <c r="L20" s="27">
        <v>-169.5</v>
      </c>
      <c r="M20" s="27">
        <f t="shared" si="4"/>
        <v>90.80000000000001</v>
      </c>
      <c r="N20" s="27">
        <v>0</v>
      </c>
      <c r="O20" s="27">
        <f t="shared" si="5"/>
        <v>90.80000000000001</v>
      </c>
    </row>
    <row r="21" spans="1:15" ht="24">
      <c r="A21" s="22" t="s">
        <v>23</v>
      </c>
      <c r="B21" s="23">
        <v>34</v>
      </c>
      <c r="C21" s="24">
        <v>29</v>
      </c>
      <c r="D21" s="24">
        <v>40</v>
      </c>
      <c r="E21" s="25">
        <f t="shared" si="6"/>
        <v>154.5</v>
      </c>
      <c r="F21" s="28">
        <v>200</v>
      </c>
      <c r="G21" s="27">
        <f t="shared" si="7"/>
        <v>77</v>
      </c>
      <c r="H21" s="27"/>
      <c r="I21" s="27"/>
      <c r="J21" s="27"/>
      <c r="K21" s="27">
        <f t="shared" si="3"/>
        <v>231.5</v>
      </c>
      <c r="L21" s="27">
        <v>-48</v>
      </c>
      <c r="M21" s="27">
        <f t="shared" si="4"/>
        <v>183.5</v>
      </c>
      <c r="N21" s="27">
        <v>0</v>
      </c>
      <c r="O21" s="27">
        <f t="shared" si="5"/>
        <v>183.5</v>
      </c>
    </row>
    <row r="22" spans="1:15" ht="36">
      <c r="A22" s="29" t="s">
        <v>24</v>
      </c>
      <c r="B22" s="23">
        <v>27</v>
      </c>
      <c r="C22" s="24">
        <v>51</v>
      </c>
      <c r="D22" s="24">
        <v>40</v>
      </c>
      <c r="E22" s="25">
        <f t="shared" si="6"/>
        <v>177</v>
      </c>
      <c r="F22" s="28"/>
      <c r="G22" s="27">
        <f t="shared" si="7"/>
        <v>0</v>
      </c>
      <c r="H22" s="27"/>
      <c r="I22" s="27"/>
      <c r="J22" s="27"/>
      <c r="K22" s="27">
        <f t="shared" si="3"/>
        <v>177</v>
      </c>
      <c r="L22" s="27">
        <v>-274.5</v>
      </c>
      <c r="M22" s="27">
        <f t="shared" si="4"/>
        <v>-97.5</v>
      </c>
      <c r="N22" s="27">
        <v>-97.5</v>
      </c>
      <c r="O22" s="27">
        <f t="shared" si="5"/>
        <v>0</v>
      </c>
    </row>
    <row r="23" spans="1:15" ht="24">
      <c r="A23" s="22" t="s">
        <v>25</v>
      </c>
      <c r="B23" s="23">
        <v>69</v>
      </c>
      <c r="C23" s="24">
        <v>61</v>
      </c>
      <c r="D23" s="24">
        <v>40</v>
      </c>
      <c r="E23" s="25">
        <f t="shared" si="6"/>
        <v>255</v>
      </c>
      <c r="F23" s="28"/>
      <c r="G23" s="27">
        <f t="shared" si="7"/>
        <v>0</v>
      </c>
      <c r="H23" s="27"/>
      <c r="I23" s="27"/>
      <c r="J23" s="27"/>
      <c r="K23" s="27">
        <f t="shared" si="3"/>
        <v>255</v>
      </c>
      <c r="L23" s="27">
        <v>43.5</v>
      </c>
      <c r="M23" s="27">
        <f t="shared" si="4"/>
        <v>298.5</v>
      </c>
      <c r="N23" s="27">
        <v>157.5</v>
      </c>
      <c r="O23" s="27">
        <f t="shared" si="5"/>
        <v>141</v>
      </c>
    </row>
    <row r="24" spans="1:15" ht="24">
      <c r="A24" s="29" t="s">
        <v>499</v>
      </c>
      <c r="B24" s="23">
        <v>14</v>
      </c>
      <c r="C24" s="24">
        <v>6</v>
      </c>
      <c r="D24" s="24">
        <v>20</v>
      </c>
      <c r="E24" s="25">
        <f t="shared" si="6"/>
        <v>60</v>
      </c>
      <c r="F24" s="28"/>
      <c r="G24" s="27">
        <f t="shared" si="7"/>
        <v>0</v>
      </c>
      <c r="H24" s="27"/>
      <c r="I24" s="27"/>
      <c r="J24" s="27"/>
      <c r="K24" s="27">
        <f t="shared" si="3"/>
        <v>60</v>
      </c>
      <c r="L24" s="27">
        <v>-120</v>
      </c>
      <c r="M24" s="27">
        <f t="shared" si="4"/>
        <v>-60</v>
      </c>
      <c r="N24" s="27">
        <v>-60</v>
      </c>
      <c r="O24" s="27">
        <f t="shared" si="5"/>
        <v>0</v>
      </c>
    </row>
    <row r="25" spans="1:15" ht="24">
      <c r="A25" s="22" t="s">
        <v>27</v>
      </c>
      <c r="B25" s="23">
        <v>21</v>
      </c>
      <c r="C25" s="24">
        <v>21</v>
      </c>
      <c r="D25" s="24">
        <v>20</v>
      </c>
      <c r="E25" s="25">
        <f t="shared" si="6"/>
        <v>93</v>
      </c>
      <c r="F25" s="28"/>
      <c r="G25" s="27">
        <f t="shared" si="7"/>
        <v>0</v>
      </c>
      <c r="H25" s="27"/>
      <c r="I25" s="27"/>
      <c r="J25" s="27"/>
      <c r="K25" s="27">
        <f t="shared" si="3"/>
        <v>93</v>
      </c>
      <c r="L25" s="27">
        <v>-76.5</v>
      </c>
      <c r="M25" s="27">
        <f t="shared" si="4"/>
        <v>16.5</v>
      </c>
      <c r="N25" s="27">
        <v>0</v>
      </c>
      <c r="O25" s="27">
        <f t="shared" si="5"/>
        <v>16.5</v>
      </c>
    </row>
    <row r="26" spans="1:15" ht="24">
      <c r="A26" s="22" t="s">
        <v>28</v>
      </c>
      <c r="B26" s="23">
        <v>27</v>
      </c>
      <c r="C26" s="24">
        <v>33</v>
      </c>
      <c r="D26" s="24">
        <v>20</v>
      </c>
      <c r="E26" s="25">
        <f t="shared" si="6"/>
        <v>120</v>
      </c>
      <c r="F26" s="28"/>
      <c r="G26" s="27">
        <f t="shared" si="7"/>
        <v>0</v>
      </c>
      <c r="H26" s="27"/>
      <c r="I26" s="27"/>
      <c r="J26" s="27"/>
      <c r="K26" s="27">
        <f t="shared" si="3"/>
        <v>120</v>
      </c>
      <c r="L26" s="27">
        <v>-36</v>
      </c>
      <c r="M26" s="27">
        <f t="shared" si="4"/>
        <v>84</v>
      </c>
      <c r="N26" s="27">
        <v>0</v>
      </c>
      <c r="O26" s="27">
        <f t="shared" si="5"/>
        <v>84</v>
      </c>
    </row>
    <row r="27" spans="1:15" ht="24">
      <c r="A27" s="22" t="s">
        <v>29</v>
      </c>
      <c r="B27" s="23">
        <v>45</v>
      </c>
      <c r="C27" s="24">
        <v>90</v>
      </c>
      <c r="D27" s="24">
        <v>40</v>
      </c>
      <c r="E27" s="25">
        <f t="shared" si="6"/>
        <v>262.5</v>
      </c>
      <c r="F27" s="28"/>
      <c r="G27" s="27">
        <f t="shared" si="7"/>
        <v>0</v>
      </c>
      <c r="H27" s="27"/>
      <c r="I27" s="27"/>
      <c r="J27" s="27"/>
      <c r="K27" s="27">
        <f t="shared" si="3"/>
        <v>262.5</v>
      </c>
      <c r="L27" s="27">
        <v>120</v>
      </c>
      <c r="M27" s="27">
        <f t="shared" si="4"/>
        <v>382.5</v>
      </c>
      <c r="N27" s="27">
        <v>0</v>
      </c>
      <c r="O27" s="27">
        <f t="shared" si="5"/>
        <v>382.5</v>
      </c>
    </row>
    <row r="28" spans="1:15" ht="24">
      <c r="A28" s="22" t="s">
        <v>30</v>
      </c>
      <c r="B28" s="23">
        <v>99</v>
      </c>
      <c r="C28" s="24">
        <v>75</v>
      </c>
      <c r="D28" s="24">
        <v>40</v>
      </c>
      <c r="E28" s="25">
        <f t="shared" si="6"/>
        <v>321</v>
      </c>
      <c r="F28" s="28">
        <v>80</v>
      </c>
      <c r="G28" s="27">
        <f t="shared" si="7"/>
        <v>30.8</v>
      </c>
      <c r="H28" s="27"/>
      <c r="I28" s="27"/>
      <c r="J28" s="27"/>
      <c r="K28" s="27">
        <f t="shared" si="3"/>
        <v>351.8</v>
      </c>
      <c r="L28" s="27">
        <v>-3</v>
      </c>
      <c r="M28" s="27">
        <f t="shared" si="4"/>
        <v>348.8</v>
      </c>
      <c r="N28" s="27">
        <v>0</v>
      </c>
      <c r="O28" s="27">
        <f t="shared" si="5"/>
        <v>348.8</v>
      </c>
    </row>
    <row r="29" spans="1:15" ht="36">
      <c r="A29" s="22" t="s">
        <v>31</v>
      </c>
      <c r="B29" s="23">
        <v>29</v>
      </c>
      <c r="C29" s="24">
        <v>92</v>
      </c>
      <c r="D29" s="24">
        <v>20</v>
      </c>
      <c r="E29" s="25">
        <f t="shared" si="6"/>
        <v>211.5</v>
      </c>
      <c r="F29" s="28"/>
      <c r="G29" s="27">
        <f t="shared" si="7"/>
        <v>0</v>
      </c>
      <c r="H29" s="27"/>
      <c r="I29" s="27"/>
      <c r="J29" s="27"/>
      <c r="K29" s="27">
        <f t="shared" si="3"/>
        <v>211.5</v>
      </c>
      <c r="L29" s="27">
        <v>60</v>
      </c>
      <c r="M29" s="27">
        <f t="shared" si="4"/>
        <v>271.5</v>
      </c>
      <c r="N29" s="27">
        <v>0</v>
      </c>
      <c r="O29" s="27">
        <f t="shared" si="5"/>
        <v>271.5</v>
      </c>
    </row>
    <row r="30" spans="1:15" ht="24">
      <c r="A30" s="30" t="s">
        <v>131</v>
      </c>
      <c r="B30" s="20">
        <f aca="true" t="shared" si="8" ref="B30:O30">SUM(B31:B34)</f>
        <v>317</v>
      </c>
      <c r="C30" s="20">
        <f t="shared" si="8"/>
        <v>339</v>
      </c>
      <c r="D30" s="20">
        <f t="shared" si="8"/>
        <v>255</v>
      </c>
      <c r="E30" s="21">
        <f t="shared" si="8"/>
        <v>1366.5</v>
      </c>
      <c r="F30" s="20">
        <f t="shared" si="8"/>
        <v>0</v>
      </c>
      <c r="G30" s="21">
        <f t="shared" si="8"/>
        <v>0</v>
      </c>
      <c r="H30" s="21">
        <f t="shared" si="8"/>
        <v>0</v>
      </c>
      <c r="I30" s="21">
        <f t="shared" si="8"/>
        <v>0</v>
      </c>
      <c r="J30" s="21">
        <f t="shared" si="8"/>
        <v>0</v>
      </c>
      <c r="K30" s="21">
        <f t="shared" si="8"/>
        <v>1366.5</v>
      </c>
      <c r="L30" s="21">
        <f t="shared" si="8"/>
        <v>-310.5</v>
      </c>
      <c r="M30" s="21">
        <f t="shared" si="8"/>
        <v>1056</v>
      </c>
      <c r="N30" s="21">
        <f t="shared" si="8"/>
        <v>0</v>
      </c>
      <c r="O30" s="21">
        <f t="shared" si="8"/>
        <v>1056</v>
      </c>
    </row>
    <row r="31" spans="1:15" ht="24">
      <c r="A31" s="29" t="s">
        <v>32</v>
      </c>
      <c r="B31" s="23">
        <v>41</v>
      </c>
      <c r="C31" s="24">
        <v>39</v>
      </c>
      <c r="D31" s="24">
        <v>40</v>
      </c>
      <c r="E31" s="25">
        <f>SUM(B31:D31)*1.5</f>
        <v>180</v>
      </c>
      <c r="F31" s="28"/>
      <c r="G31" s="27">
        <f aca="true" t="shared" si="9" ref="G31:G36">ROUND(F31*0.385,2)</f>
        <v>0</v>
      </c>
      <c r="H31" s="27"/>
      <c r="I31" s="27"/>
      <c r="J31" s="27"/>
      <c r="K31" s="27">
        <f>E31+G31+H31+I31+J31</f>
        <v>180</v>
      </c>
      <c r="L31" s="27">
        <v>-180</v>
      </c>
      <c r="M31" s="27">
        <f>K31+L31</f>
        <v>0</v>
      </c>
      <c r="N31" s="21">
        <f>SUM(N32:N35)</f>
        <v>0</v>
      </c>
      <c r="O31" s="27">
        <f aca="true" t="shared" si="10" ref="O31:O36">M31-N31</f>
        <v>0</v>
      </c>
    </row>
    <row r="32" spans="1:15" ht="36">
      <c r="A32" s="22" t="s">
        <v>33</v>
      </c>
      <c r="B32" s="23">
        <v>86</v>
      </c>
      <c r="C32" s="24">
        <v>126</v>
      </c>
      <c r="D32" s="24">
        <v>85</v>
      </c>
      <c r="E32" s="25">
        <f>SUM(B32:D32)*1.5</f>
        <v>445.5</v>
      </c>
      <c r="F32" s="28"/>
      <c r="G32" s="27">
        <f t="shared" si="9"/>
        <v>0</v>
      </c>
      <c r="H32" s="27"/>
      <c r="I32" s="27"/>
      <c r="J32" s="27"/>
      <c r="K32" s="27">
        <f>E32+G32+H32+I32+J32</f>
        <v>445.5</v>
      </c>
      <c r="L32" s="27">
        <v>-261</v>
      </c>
      <c r="M32" s="27">
        <f>K32+L32</f>
        <v>184.5</v>
      </c>
      <c r="N32" s="27">
        <v>0</v>
      </c>
      <c r="O32" s="27">
        <f t="shared" si="10"/>
        <v>184.5</v>
      </c>
    </row>
    <row r="33" spans="1:15" ht="24">
      <c r="A33" s="22" t="s">
        <v>34</v>
      </c>
      <c r="B33" s="23">
        <v>162</v>
      </c>
      <c r="C33" s="24">
        <v>142</v>
      </c>
      <c r="D33" s="24">
        <v>110</v>
      </c>
      <c r="E33" s="25">
        <f>SUM(B33:D33)*1.5</f>
        <v>621</v>
      </c>
      <c r="F33" s="28"/>
      <c r="G33" s="27">
        <f t="shared" si="9"/>
        <v>0</v>
      </c>
      <c r="H33" s="27"/>
      <c r="I33" s="27"/>
      <c r="J33" s="27"/>
      <c r="K33" s="27">
        <f>E33+G33+H33+I33+J33</f>
        <v>621</v>
      </c>
      <c r="L33" s="27">
        <v>130.5</v>
      </c>
      <c r="M33" s="27">
        <f>K33+L33</f>
        <v>751.5</v>
      </c>
      <c r="N33" s="27"/>
      <c r="O33" s="27">
        <f t="shared" si="10"/>
        <v>751.5</v>
      </c>
    </row>
    <row r="34" spans="1:15" ht="36">
      <c r="A34" s="22" t="s">
        <v>35</v>
      </c>
      <c r="B34" s="23">
        <v>28</v>
      </c>
      <c r="C34" s="24">
        <v>32</v>
      </c>
      <c r="D34" s="24">
        <v>20</v>
      </c>
      <c r="E34" s="25">
        <f>SUM(B34:D34)*1.5</f>
        <v>120</v>
      </c>
      <c r="F34" s="28"/>
      <c r="G34" s="27">
        <f t="shared" si="9"/>
        <v>0</v>
      </c>
      <c r="H34" s="27"/>
      <c r="I34" s="27"/>
      <c r="J34" s="27"/>
      <c r="K34" s="27">
        <f>E34+G34+H34+I34+J34</f>
        <v>120</v>
      </c>
      <c r="L34" s="27">
        <v>0</v>
      </c>
      <c r="M34" s="27">
        <f>K34+L34</f>
        <v>120</v>
      </c>
      <c r="N34" s="27">
        <v>0</v>
      </c>
      <c r="O34" s="27">
        <f t="shared" si="10"/>
        <v>120</v>
      </c>
    </row>
    <row r="35" spans="1:15" ht="13.5">
      <c r="A35" s="30" t="s">
        <v>500</v>
      </c>
      <c r="B35" s="31">
        <f>SUM(B36)</f>
        <v>0</v>
      </c>
      <c r="C35" s="20">
        <f>SUM(C36)</f>
        <v>0</v>
      </c>
      <c r="D35" s="20">
        <f>SUM(D36)</f>
        <v>0</v>
      </c>
      <c r="E35" s="21">
        <f>SUM(E36)</f>
        <v>0</v>
      </c>
      <c r="F35" s="20">
        <f>SUM(F36)</f>
        <v>0</v>
      </c>
      <c r="G35" s="27">
        <f t="shared" si="9"/>
        <v>0</v>
      </c>
      <c r="H35" s="21">
        <f aca="true" t="shared" si="11" ref="H35:M35">SUM(H36)</f>
        <v>90</v>
      </c>
      <c r="I35" s="21">
        <f t="shared" si="11"/>
        <v>200</v>
      </c>
      <c r="J35" s="21">
        <f t="shared" si="11"/>
        <v>0</v>
      </c>
      <c r="K35" s="21">
        <f t="shared" si="11"/>
        <v>290</v>
      </c>
      <c r="L35" s="21">
        <f t="shared" si="11"/>
        <v>0</v>
      </c>
      <c r="M35" s="21">
        <f t="shared" si="11"/>
        <v>290</v>
      </c>
      <c r="N35" s="21">
        <f>VLOOKUP(A35,'[2]2020年住院医师规范化培训（社会人学员）资金测算表 '!$A$3:$M$55,COLUMN('[2]2020年住院医师规范化培训（社会人学员）资金测算表 '!$M:$M),0)-M35</f>
        <v>0</v>
      </c>
      <c r="O35" s="27">
        <f t="shared" si="10"/>
        <v>290</v>
      </c>
    </row>
    <row r="36" spans="1:15" ht="24">
      <c r="A36" s="22" t="s">
        <v>37</v>
      </c>
      <c r="B36" s="23"/>
      <c r="C36" s="24"/>
      <c r="D36" s="24"/>
      <c r="E36" s="25">
        <f>SUM(B36:D36)*1.5</f>
        <v>0</v>
      </c>
      <c r="F36" s="28"/>
      <c r="G36" s="27">
        <f t="shared" si="9"/>
        <v>0</v>
      </c>
      <c r="H36" s="27">
        <v>90</v>
      </c>
      <c r="I36" s="27">
        <v>200</v>
      </c>
      <c r="J36" s="27"/>
      <c r="K36" s="27">
        <f aca="true" t="shared" si="12" ref="K36:K56">E36+G36+H36+I36+J36</f>
        <v>290</v>
      </c>
      <c r="L36" s="27">
        <v>0</v>
      </c>
      <c r="M36" s="27">
        <f aca="true" t="shared" si="13" ref="M36:M56">K36+L36</f>
        <v>290</v>
      </c>
      <c r="N36" s="27">
        <f>VLOOKUP(A36,'[2]2020年住院医师规范化培训（社会人学员）资金测算表 '!$A$3:$M$55,COLUMN('[2]2020年住院医师规范化培训（社会人学员）资金测算表 '!$M:$M),0)-M36</f>
        <v>0</v>
      </c>
      <c r="O36" s="27">
        <f t="shared" si="10"/>
        <v>290</v>
      </c>
    </row>
    <row r="37" spans="1:15" ht="24">
      <c r="A37" s="30" t="s">
        <v>501</v>
      </c>
      <c r="B37" s="20">
        <f aca="true" t="shared" si="14" ref="B37:O37">SUM(B38:B54)</f>
        <v>2171</v>
      </c>
      <c r="C37" s="20">
        <f t="shared" si="14"/>
        <v>2574</v>
      </c>
      <c r="D37" s="20">
        <f t="shared" si="14"/>
        <v>1253</v>
      </c>
      <c r="E37" s="21">
        <f t="shared" si="14"/>
        <v>8982</v>
      </c>
      <c r="F37" s="20">
        <f t="shared" si="14"/>
        <v>300</v>
      </c>
      <c r="G37" s="21">
        <f t="shared" si="14"/>
        <v>115.5</v>
      </c>
      <c r="H37" s="21">
        <f t="shared" si="14"/>
        <v>0</v>
      </c>
      <c r="I37" s="21">
        <f t="shared" si="14"/>
        <v>0</v>
      </c>
      <c r="J37" s="21">
        <f t="shared" si="14"/>
        <v>0</v>
      </c>
      <c r="K37" s="21">
        <f t="shared" si="14"/>
        <v>9097.5</v>
      </c>
      <c r="L37" s="21">
        <f t="shared" si="14"/>
        <v>1492.5</v>
      </c>
      <c r="M37" s="21">
        <f t="shared" si="14"/>
        <v>10590</v>
      </c>
      <c r="N37" s="21">
        <f t="shared" si="14"/>
        <v>0</v>
      </c>
      <c r="O37" s="21">
        <f t="shared" si="14"/>
        <v>10605</v>
      </c>
    </row>
    <row r="38" spans="1:15" ht="13.5">
      <c r="A38" s="32" t="s">
        <v>43</v>
      </c>
      <c r="B38" s="24">
        <v>693</v>
      </c>
      <c r="C38" s="24">
        <v>799</v>
      </c>
      <c r="D38" s="24">
        <v>280</v>
      </c>
      <c r="E38" s="25">
        <v>2658</v>
      </c>
      <c r="F38" s="24">
        <v>100</v>
      </c>
      <c r="G38" s="27">
        <f aca="true" t="shared" si="15" ref="G38:G56">ROUND(F38*0.385,2)</f>
        <v>38.5</v>
      </c>
      <c r="H38" s="27">
        <v>0</v>
      </c>
      <c r="I38" s="27">
        <v>0</v>
      </c>
      <c r="J38" s="27">
        <v>0</v>
      </c>
      <c r="K38" s="27">
        <f t="shared" si="12"/>
        <v>2696.5</v>
      </c>
      <c r="L38" s="27">
        <v>426</v>
      </c>
      <c r="M38" s="27">
        <f t="shared" si="13"/>
        <v>3122.5</v>
      </c>
      <c r="N38" s="27">
        <v>0</v>
      </c>
      <c r="O38" s="27">
        <f aca="true" t="shared" si="16" ref="O38:O53">M38-N38</f>
        <v>3122.5</v>
      </c>
    </row>
    <row r="39" spans="1:15" ht="13.5">
      <c r="A39" s="32" t="s">
        <v>44</v>
      </c>
      <c r="B39" s="24">
        <v>665</v>
      </c>
      <c r="C39" s="24">
        <v>713</v>
      </c>
      <c r="D39" s="24">
        <v>438</v>
      </c>
      <c r="E39" s="25">
        <v>2724</v>
      </c>
      <c r="F39" s="24">
        <v>200</v>
      </c>
      <c r="G39" s="27">
        <f t="shared" si="15"/>
        <v>77</v>
      </c>
      <c r="H39" s="27">
        <v>0</v>
      </c>
      <c r="I39" s="27">
        <v>0</v>
      </c>
      <c r="J39" s="27">
        <v>0</v>
      </c>
      <c r="K39" s="27">
        <f t="shared" si="12"/>
        <v>2801</v>
      </c>
      <c r="L39" s="27">
        <v>418.5</v>
      </c>
      <c r="M39" s="27">
        <f t="shared" si="13"/>
        <v>3219.5</v>
      </c>
      <c r="N39" s="27">
        <v>0</v>
      </c>
      <c r="O39" s="27">
        <f t="shared" si="16"/>
        <v>3219.5</v>
      </c>
    </row>
    <row r="40" spans="1:15" ht="13.5">
      <c r="A40" s="32" t="s">
        <v>45</v>
      </c>
      <c r="B40" s="24">
        <v>136</v>
      </c>
      <c r="C40" s="24">
        <v>170</v>
      </c>
      <c r="D40" s="24">
        <v>70</v>
      </c>
      <c r="E40" s="25">
        <v>564</v>
      </c>
      <c r="F40" s="24">
        <v>0</v>
      </c>
      <c r="G40" s="27">
        <f t="shared" si="15"/>
        <v>0</v>
      </c>
      <c r="H40" s="27">
        <v>0</v>
      </c>
      <c r="I40" s="27">
        <v>0</v>
      </c>
      <c r="J40" s="27">
        <v>0</v>
      </c>
      <c r="K40" s="27">
        <f t="shared" si="12"/>
        <v>564</v>
      </c>
      <c r="L40" s="27">
        <v>328.5</v>
      </c>
      <c r="M40" s="27">
        <f t="shared" si="13"/>
        <v>892.5</v>
      </c>
      <c r="N40" s="27">
        <v>0</v>
      </c>
      <c r="O40" s="27">
        <f t="shared" si="16"/>
        <v>892.5</v>
      </c>
    </row>
    <row r="41" spans="1:15" ht="13.5">
      <c r="A41" s="32" t="s">
        <v>46</v>
      </c>
      <c r="B41" s="24">
        <v>21</v>
      </c>
      <c r="C41" s="24">
        <v>22</v>
      </c>
      <c r="D41" s="24">
        <v>20</v>
      </c>
      <c r="E41" s="25">
        <v>94.5</v>
      </c>
      <c r="F41" s="24">
        <v>0</v>
      </c>
      <c r="G41" s="27">
        <f t="shared" si="15"/>
        <v>0</v>
      </c>
      <c r="H41" s="27">
        <v>0</v>
      </c>
      <c r="I41" s="27">
        <v>0</v>
      </c>
      <c r="J41" s="27">
        <v>0</v>
      </c>
      <c r="K41" s="27">
        <f t="shared" si="12"/>
        <v>94.5</v>
      </c>
      <c r="L41" s="27">
        <v>16.5</v>
      </c>
      <c r="M41" s="27">
        <f t="shared" si="13"/>
        <v>111</v>
      </c>
      <c r="N41" s="27">
        <v>0</v>
      </c>
      <c r="O41" s="27">
        <f t="shared" si="16"/>
        <v>111</v>
      </c>
    </row>
    <row r="42" spans="1:15" ht="13.5">
      <c r="A42" s="32" t="s">
        <v>47</v>
      </c>
      <c r="B42" s="24">
        <v>126</v>
      </c>
      <c r="C42" s="24">
        <v>164</v>
      </c>
      <c r="D42" s="24">
        <v>60</v>
      </c>
      <c r="E42" s="25">
        <v>525</v>
      </c>
      <c r="F42" s="24">
        <v>0</v>
      </c>
      <c r="G42" s="27">
        <f t="shared" si="15"/>
        <v>0</v>
      </c>
      <c r="H42" s="27">
        <v>0</v>
      </c>
      <c r="I42" s="27">
        <v>0</v>
      </c>
      <c r="J42" s="27">
        <v>0</v>
      </c>
      <c r="K42" s="27">
        <f t="shared" si="12"/>
        <v>525</v>
      </c>
      <c r="L42" s="27">
        <v>214.5</v>
      </c>
      <c r="M42" s="27">
        <f t="shared" si="13"/>
        <v>739.5</v>
      </c>
      <c r="N42" s="27">
        <v>0</v>
      </c>
      <c r="O42" s="27">
        <f t="shared" si="16"/>
        <v>739.5</v>
      </c>
    </row>
    <row r="43" spans="1:15" ht="13.5">
      <c r="A43" s="32" t="s">
        <v>48</v>
      </c>
      <c r="B43" s="24">
        <v>33</v>
      </c>
      <c r="C43" s="24">
        <v>38</v>
      </c>
      <c r="D43" s="24">
        <v>20</v>
      </c>
      <c r="E43" s="25">
        <v>136.5</v>
      </c>
      <c r="F43" s="24">
        <v>0</v>
      </c>
      <c r="G43" s="27">
        <f t="shared" si="15"/>
        <v>0</v>
      </c>
      <c r="H43" s="27">
        <v>0</v>
      </c>
      <c r="I43" s="27">
        <v>0</v>
      </c>
      <c r="J43" s="27">
        <v>0</v>
      </c>
      <c r="K43" s="27">
        <f t="shared" si="12"/>
        <v>136.5</v>
      </c>
      <c r="L43" s="27">
        <v>13.5</v>
      </c>
      <c r="M43" s="27">
        <f t="shared" si="13"/>
        <v>150</v>
      </c>
      <c r="N43" s="27">
        <v>0</v>
      </c>
      <c r="O43" s="27">
        <f t="shared" si="16"/>
        <v>150</v>
      </c>
    </row>
    <row r="44" spans="1:15" ht="13.5">
      <c r="A44" s="32" t="s">
        <v>50</v>
      </c>
      <c r="B44" s="24">
        <v>61</v>
      </c>
      <c r="C44" s="24">
        <v>40</v>
      </c>
      <c r="D44" s="24">
        <v>20</v>
      </c>
      <c r="E44" s="25">
        <v>181.5</v>
      </c>
      <c r="F44" s="24">
        <v>0</v>
      </c>
      <c r="G44" s="27">
        <f t="shared" si="15"/>
        <v>0</v>
      </c>
      <c r="H44" s="27">
        <v>0</v>
      </c>
      <c r="I44" s="27">
        <v>0</v>
      </c>
      <c r="J44" s="27">
        <v>0</v>
      </c>
      <c r="K44" s="27">
        <f t="shared" si="12"/>
        <v>181.5</v>
      </c>
      <c r="L44" s="27">
        <v>108</v>
      </c>
      <c r="M44" s="27">
        <f t="shared" si="13"/>
        <v>289.5</v>
      </c>
      <c r="N44" s="27">
        <v>0</v>
      </c>
      <c r="O44" s="27">
        <f t="shared" si="16"/>
        <v>289.5</v>
      </c>
    </row>
    <row r="45" spans="1:15" ht="13.5">
      <c r="A45" s="32" t="s">
        <v>51</v>
      </c>
      <c r="B45" s="24">
        <v>23</v>
      </c>
      <c r="C45" s="24">
        <v>17</v>
      </c>
      <c r="D45" s="24">
        <v>15</v>
      </c>
      <c r="E45" s="25">
        <v>82.5</v>
      </c>
      <c r="F45" s="24">
        <v>0</v>
      </c>
      <c r="G45" s="27">
        <f t="shared" si="15"/>
        <v>0</v>
      </c>
      <c r="H45" s="27">
        <v>0</v>
      </c>
      <c r="I45" s="27">
        <v>0</v>
      </c>
      <c r="J45" s="27">
        <v>0</v>
      </c>
      <c r="K45" s="27">
        <f t="shared" si="12"/>
        <v>82.5</v>
      </c>
      <c r="L45" s="27">
        <v>-73.5</v>
      </c>
      <c r="M45" s="27">
        <f t="shared" si="13"/>
        <v>9</v>
      </c>
      <c r="N45" s="27">
        <v>0</v>
      </c>
      <c r="O45" s="27">
        <f t="shared" si="16"/>
        <v>9</v>
      </c>
    </row>
    <row r="46" spans="1:15" ht="13.5">
      <c r="A46" s="32" t="s">
        <v>53</v>
      </c>
      <c r="B46" s="24">
        <v>86</v>
      </c>
      <c r="C46" s="24">
        <v>187</v>
      </c>
      <c r="D46" s="24">
        <v>70</v>
      </c>
      <c r="E46" s="25">
        <v>514.5</v>
      </c>
      <c r="F46" s="24">
        <v>0</v>
      </c>
      <c r="G46" s="27">
        <f t="shared" si="15"/>
        <v>0</v>
      </c>
      <c r="H46" s="27">
        <v>0</v>
      </c>
      <c r="I46" s="27">
        <v>0</v>
      </c>
      <c r="J46" s="27">
        <v>0</v>
      </c>
      <c r="K46" s="27">
        <f t="shared" si="12"/>
        <v>514.5</v>
      </c>
      <c r="L46" s="27">
        <v>36</v>
      </c>
      <c r="M46" s="27">
        <f t="shared" si="13"/>
        <v>550.5</v>
      </c>
      <c r="N46" s="27">
        <v>0</v>
      </c>
      <c r="O46" s="27">
        <f t="shared" si="16"/>
        <v>550.5</v>
      </c>
    </row>
    <row r="47" spans="1:15" ht="13.5">
      <c r="A47" s="32" t="s">
        <v>54</v>
      </c>
      <c r="B47" s="24">
        <v>97</v>
      </c>
      <c r="C47" s="24">
        <v>135</v>
      </c>
      <c r="D47" s="24">
        <v>80</v>
      </c>
      <c r="E47" s="25">
        <v>468</v>
      </c>
      <c r="F47" s="24">
        <v>0</v>
      </c>
      <c r="G47" s="27">
        <f t="shared" si="15"/>
        <v>0</v>
      </c>
      <c r="H47" s="27">
        <v>0</v>
      </c>
      <c r="I47" s="27">
        <v>0</v>
      </c>
      <c r="J47" s="27">
        <v>0</v>
      </c>
      <c r="K47" s="27">
        <f t="shared" si="12"/>
        <v>468</v>
      </c>
      <c r="L47" s="27">
        <v>-9</v>
      </c>
      <c r="M47" s="27">
        <f t="shared" si="13"/>
        <v>459</v>
      </c>
      <c r="N47" s="27">
        <v>0</v>
      </c>
      <c r="O47" s="27">
        <f t="shared" si="16"/>
        <v>459</v>
      </c>
    </row>
    <row r="48" spans="1:15" ht="13.5">
      <c r="A48" s="32" t="s">
        <v>55</v>
      </c>
      <c r="B48" s="24">
        <v>75</v>
      </c>
      <c r="C48" s="24">
        <v>54</v>
      </c>
      <c r="D48" s="24">
        <v>50</v>
      </c>
      <c r="E48" s="25">
        <v>268.5</v>
      </c>
      <c r="F48" s="24">
        <v>0</v>
      </c>
      <c r="G48" s="27">
        <f t="shared" si="15"/>
        <v>0</v>
      </c>
      <c r="H48" s="27">
        <v>0</v>
      </c>
      <c r="I48" s="27">
        <v>0</v>
      </c>
      <c r="J48" s="27">
        <v>0</v>
      </c>
      <c r="K48" s="27">
        <f t="shared" si="12"/>
        <v>268.5</v>
      </c>
      <c r="L48" s="27">
        <v>43.5</v>
      </c>
      <c r="M48" s="27">
        <f t="shared" si="13"/>
        <v>312</v>
      </c>
      <c r="N48" s="27">
        <v>0</v>
      </c>
      <c r="O48" s="27">
        <f t="shared" si="16"/>
        <v>312</v>
      </c>
    </row>
    <row r="49" spans="1:15" ht="13.5">
      <c r="A49" s="32" t="s">
        <v>56</v>
      </c>
      <c r="B49" s="24">
        <v>32</v>
      </c>
      <c r="C49" s="24">
        <v>33</v>
      </c>
      <c r="D49" s="24">
        <v>20</v>
      </c>
      <c r="E49" s="25">
        <v>127.5</v>
      </c>
      <c r="F49" s="24">
        <v>0</v>
      </c>
      <c r="G49" s="27">
        <f t="shared" si="15"/>
        <v>0</v>
      </c>
      <c r="H49" s="27">
        <v>0</v>
      </c>
      <c r="I49" s="27">
        <v>0</v>
      </c>
      <c r="J49" s="27">
        <v>0</v>
      </c>
      <c r="K49" s="27">
        <f t="shared" si="12"/>
        <v>127.5</v>
      </c>
      <c r="L49" s="27">
        <v>-6</v>
      </c>
      <c r="M49" s="27">
        <f t="shared" si="13"/>
        <v>121.5</v>
      </c>
      <c r="N49" s="27">
        <v>0</v>
      </c>
      <c r="O49" s="27">
        <f t="shared" si="16"/>
        <v>121.5</v>
      </c>
    </row>
    <row r="50" spans="1:15" ht="13.5">
      <c r="A50" s="32" t="s">
        <v>57</v>
      </c>
      <c r="B50" s="24">
        <v>14</v>
      </c>
      <c r="C50" s="24">
        <v>60</v>
      </c>
      <c r="D50" s="24">
        <v>20</v>
      </c>
      <c r="E50" s="25">
        <v>141</v>
      </c>
      <c r="F50" s="24">
        <v>0</v>
      </c>
      <c r="G50" s="27">
        <f t="shared" si="15"/>
        <v>0</v>
      </c>
      <c r="H50" s="27">
        <v>0</v>
      </c>
      <c r="I50" s="27">
        <v>0</v>
      </c>
      <c r="J50" s="27">
        <v>0</v>
      </c>
      <c r="K50" s="27">
        <f t="shared" si="12"/>
        <v>141</v>
      </c>
      <c r="L50" s="27">
        <v>-1.5</v>
      </c>
      <c r="M50" s="27">
        <f t="shared" si="13"/>
        <v>139.5</v>
      </c>
      <c r="N50" s="27">
        <v>0</v>
      </c>
      <c r="O50" s="27">
        <f t="shared" si="16"/>
        <v>139.5</v>
      </c>
    </row>
    <row r="51" spans="1:15" ht="13.5">
      <c r="A51" s="32" t="s">
        <v>58</v>
      </c>
      <c r="B51" s="24">
        <v>14</v>
      </c>
      <c r="C51" s="24">
        <v>21</v>
      </c>
      <c r="D51" s="24">
        <v>20</v>
      </c>
      <c r="E51" s="25">
        <v>82.5</v>
      </c>
      <c r="F51" s="24">
        <v>0</v>
      </c>
      <c r="G51" s="27">
        <f t="shared" si="15"/>
        <v>0</v>
      </c>
      <c r="H51" s="27">
        <v>0</v>
      </c>
      <c r="I51" s="27">
        <v>0</v>
      </c>
      <c r="J51" s="27">
        <v>0</v>
      </c>
      <c r="K51" s="27">
        <f t="shared" si="12"/>
        <v>82.5</v>
      </c>
      <c r="L51" s="27">
        <v>-66</v>
      </c>
      <c r="M51" s="27">
        <f t="shared" si="13"/>
        <v>16.5</v>
      </c>
      <c r="N51" s="27">
        <v>0</v>
      </c>
      <c r="O51" s="27">
        <f t="shared" si="16"/>
        <v>16.5</v>
      </c>
    </row>
    <row r="52" spans="1:15" ht="13.5">
      <c r="A52" s="32" t="s">
        <v>59</v>
      </c>
      <c r="B52" s="24">
        <v>36</v>
      </c>
      <c r="C52" s="24">
        <v>35</v>
      </c>
      <c r="D52" s="24">
        <v>20</v>
      </c>
      <c r="E52" s="25">
        <v>136.5</v>
      </c>
      <c r="F52" s="24">
        <v>0</v>
      </c>
      <c r="G52" s="27">
        <f t="shared" si="15"/>
        <v>0</v>
      </c>
      <c r="H52" s="27">
        <v>0</v>
      </c>
      <c r="I52" s="27">
        <v>0</v>
      </c>
      <c r="J52" s="27">
        <v>0</v>
      </c>
      <c r="K52" s="27">
        <f t="shared" si="12"/>
        <v>136.5</v>
      </c>
      <c r="L52" s="27">
        <v>25.5</v>
      </c>
      <c r="M52" s="27">
        <f t="shared" si="13"/>
        <v>162</v>
      </c>
      <c r="N52" s="27">
        <v>0</v>
      </c>
      <c r="O52" s="27">
        <f t="shared" si="16"/>
        <v>162</v>
      </c>
    </row>
    <row r="53" spans="1:15" ht="13.5">
      <c r="A53" s="32" t="s">
        <v>60</v>
      </c>
      <c r="B53" s="24">
        <v>50</v>
      </c>
      <c r="C53" s="24">
        <v>67</v>
      </c>
      <c r="D53" s="24">
        <v>20</v>
      </c>
      <c r="E53" s="25">
        <v>205.5</v>
      </c>
      <c r="F53" s="24">
        <v>0</v>
      </c>
      <c r="G53" s="27">
        <f t="shared" si="15"/>
        <v>0</v>
      </c>
      <c r="H53" s="27">
        <v>0</v>
      </c>
      <c r="I53" s="27">
        <v>0</v>
      </c>
      <c r="J53" s="27">
        <v>0</v>
      </c>
      <c r="K53" s="27">
        <f t="shared" si="12"/>
        <v>205.5</v>
      </c>
      <c r="L53" s="27">
        <v>103.5</v>
      </c>
      <c r="M53" s="27">
        <f t="shared" si="13"/>
        <v>309</v>
      </c>
      <c r="N53" s="27">
        <v>0</v>
      </c>
      <c r="O53" s="27">
        <f t="shared" si="16"/>
        <v>309</v>
      </c>
    </row>
    <row r="54" spans="1:15" ht="13.5">
      <c r="A54" s="32" t="s">
        <v>62</v>
      </c>
      <c r="B54" s="24">
        <v>9</v>
      </c>
      <c r="C54" s="24">
        <v>19</v>
      </c>
      <c r="D54" s="24">
        <v>30</v>
      </c>
      <c r="E54" s="25">
        <v>72</v>
      </c>
      <c r="F54" s="24">
        <v>0</v>
      </c>
      <c r="G54" s="27">
        <f t="shared" si="15"/>
        <v>0</v>
      </c>
      <c r="H54" s="27">
        <v>0</v>
      </c>
      <c r="I54" s="27">
        <v>0</v>
      </c>
      <c r="J54" s="27">
        <v>0</v>
      </c>
      <c r="K54" s="27">
        <f t="shared" si="12"/>
        <v>72</v>
      </c>
      <c r="L54" s="27">
        <v>-85.5</v>
      </c>
      <c r="M54" s="27">
        <f t="shared" si="13"/>
        <v>-13.5</v>
      </c>
      <c r="N54" s="27">
        <v>0</v>
      </c>
      <c r="O54" s="27">
        <v>1.5</v>
      </c>
    </row>
    <row r="55" spans="1:15" ht="24">
      <c r="A55" s="30" t="s">
        <v>64</v>
      </c>
      <c r="B55" s="20">
        <f>B56</f>
        <v>31</v>
      </c>
      <c r="C55" s="20">
        <f>C56</f>
        <v>53</v>
      </c>
      <c r="D55" s="20">
        <f>D56</f>
        <v>20</v>
      </c>
      <c r="E55" s="21">
        <f>E56</f>
        <v>156</v>
      </c>
      <c r="F55" s="20">
        <f>F56</f>
        <v>0</v>
      </c>
      <c r="G55" s="27">
        <f t="shared" si="15"/>
        <v>0</v>
      </c>
      <c r="H55" s="21">
        <f>H56</f>
        <v>0</v>
      </c>
      <c r="I55" s="21">
        <f>I56</f>
        <v>0</v>
      </c>
      <c r="J55" s="21">
        <f>J56</f>
        <v>0</v>
      </c>
      <c r="K55" s="27">
        <f t="shared" si="12"/>
        <v>156</v>
      </c>
      <c r="L55" s="27">
        <v>-73.5</v>
      </c>
      <c r="M55" s="27">
        <f t="shared" si="13"/>
        <v>82.5</v>
      </c>
      <c r="N55" s="27">
        <v>0</v>
      </c>
      <c r="O55" s="27">
        <f>M55-N55</f>
        <v>82.5</v>
      </c>
    </row>
    <row r="56" spans="1:15" ht="13.5">
      <c r="A56" s="32" t="s">
        <v>502</v>
      </c>
      <c r="B56" s="24">
        <v>31</v>
      </c>
      <c r="C56" s="24">
        <v>53</v>
      </c>
      <c r="D56" s="24">
        <v>20</v>
      </c>
      <c r="E56" s="25">
        <v>156</v>
      </c>
      <c r="F56" s="24">
        <v>0</v>
      </c>
      <c r="G56" s="27">
        <f t="shared" si="15"/>
        <v>0</v>
      </c>
      <c r="H56" s="27">
        <v>0</v>
      </c>
      <c r="I56" s="27">
        <v>0</v>
      </c>
      <c r="J56" s="27">
        <v>0</v>
      </c>
      <c r="K56" s="27">
        <f t="shared" si="12"/>
        <v>156</v>
      </c>
      <c r="L56" s="27">
        <v>-73.5</v>
      </c>
      <c r="M56" s="27">
        <f t="shared" si="13"/>
        <v>82.5</v>
      </c>
      <c r="N56" s="27">
        <v>0</v>
      </c>
      <c r="O56" s="27">
        <f>M56-N56</f>
        <v>82.5</v>
      </c>
    </row>
    <row r="57" spans="1:15" ht="14.25">
      <c r="A57" s="33" t="s">
        <v>503</v>
      </c>
      <c r="B57" s="33"/>
      <c r="C57" s="33"/>
      <c r="D57" s="33"/>
      <c r="E57" s="33"/>
      <c r="F57" s="33"/>
      <c r="G57" s="33"/>
      <c r="H57" s="33"/>
      <c r="I57" s="33"/>
      <c r="J57" s="33"/>
      <c r="K57" s="33"/>
      <c r="L57" s="33"/>
      <c r="M57" s="33"/>
      <c r="N57" s="35"/>
      <c r="O57" s="35"/>
    </row>
  </sheetData>
  <sheetProtection/>
  <mergeCells count="12">
    <mergeCell ref="A2:O2"/>
    <mergeCell ref="B4:E4"/>
    <mergeCell ref="F4:G4"/>
    <mergeCell ref="H4:I4"/>
    <mergeCell ref="A57:M57"/>
    <mergeCell ref="A4:A5"/>
    <mergeCell ref="J4:J5"/>
    <mergeCell ref="K4:K5"/>
    <mergeCell ref="L4:L5"/>
    <mergeCell ref="M4:M5"/>
    <mergeCell ref="N4:N5"/>
    <mergeCell ref="O4:O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18"/>
  <sheetViews>
    <sheetView zoomScale="81" zoomScaleNormal="81" zoomScaleSheetLayoutView="100" workbookViewId="0" topLeftCell="A43">
      <selection activeCell="L38" sqref="L38"/>
    </sheetView>
  </sheetViews>
  <sheetFormatPr defaultColWidth="9.00390625" defaultRowHeight="15"/>
  <cols>
    <col min="1" max="1" width="30.421875" style="306" customWidth="1"/>
    <col min="2" max="2" width="16.140625" style="275" customWidth="1"/>
    <col min="3" max="3" width="16.00390625" style="275" customWidth="1"/>
    <col min="4" max="4" width="14.140625" style="275" customWidth="1"/>
    <col min="5" max="5" width="19.7109375" style="307" customWidth="1"/>
    <col min="6" max="6" width="16.140625" style="276" customWidth="1"/>
    <col min="7" max="7" width="18.8515625" style="308" customWidth="1"/>
    <col min="8" max="8" width="16.140625" style="307" customWidth="1"/>
    <col min="9" max="9" width="19.28125" style="307" customWidth="1"/>
    <col min="10" max="10" width="16.140625" style="307" hidden="1" customWidth="1"/>
    <col min="11" max="11" width="16.140625" style="307" customWidth="1"/>
    <col min="12" max="12" width="18.57421875" style="307" customWidth="1"/>
    <col min="13" max="13" width="9.00390625" style="275" customWidth="1"/>
    <col min="14" max="16384" width="9.00390625" style="151" customWidth="1"/>
  </cols>
  <sheetData>
    <row r="1" spans="1:13" ht="23.25" customHeight="1">
      <c r="A1" s="148" t="s">
        <v>101</v>
      </c>
      <c r="B1" s="246"/>
      <c r="C1" s="246"/>
      <c r="D1" s="246"/>
      <c r="E1" s="309"/>
      <c r="F1" s="310"/>
      <c r="G1" s="311"/>
      <c r="H1" s="309"/>
      <c r="I1" s="309"/>
      <c r="J1" s="309"/>
      <c r="K1" s="309"/>
      <c r="L1" s="309"/>
      <c r="M1" s="151"/>
    </row>
    <row r="2" spans="1:13" ht="46.5" customHeight="1">
      <c r="A2" s="312" t="s">
        <v>102</v>
      </c>
      <c r="B2" s="313"/>
      <c r="C2" s="313"/>
      <c r="D2" s="313"/>
      <c r="E2" s="314"/>
      <c r="F2" s="313"/>
      <c r="G2" s="313"/>
      <c r="H2" s="313"/>
      <c r="I2" s="313"/>
      <c r="J2" s="313"/>
      <c r="K2" s="313"/>
      <c r="L2" s="314"/>
      <c r="M2" s="151"/>
    </row>
    <row r="3" spans="1:13" ht="23.25" customHeight="1">
      <c r="A3" s="312"/>
      <c r="B3" s="313"/>
      <c r="C3" s="313"/>
      <c r="D3" s="313"/>
      <c r="E3" s="314"/>
      <c r="F3" s="313"/>
      <c r="G3" s="313"/>
      <c r="H3" s="313"/>
      <c r="I3" s="313"/>
      <c r="J3" s="313"/>
      <c r="K3" s="313"/>
      <c r="L3" s="344" t="s">
        <v>2</v>
      </c>
      <c r="M3" s="151"/>
    </row>
    <row r="4" spans="1:12" ht="25.5" customHeight="1">
      <c r="A4" s="315" t="s">
        <v>3</v>
      </c>
      <c r="B4" s="316" t="s">
        <v>103</v>
      </c>
      <c r="C4" s="316"/>
      <c r="D4" s="316"/>
      <c r="E4" s="317"/>
      <c r="F4" s="316" t="s">
        <v>104</v>
      </c>
      <c r="G4" s="318"/>
      <c r="H4" s="318" t="s">
        <v>105</v>
      </c>
      <c r="I4" s="318"/>
      <c r="J4" s="318" t="s">
        <v>106</v>
      </c>
      <c r="K4" s="318" t="s">
        <v>107</v>
      </c>
      <c r="L4" s="318" t="s">
        <v>108</v>
      </c>
    </row>
    <row r="5" spans="1:12" ht="45.75" customHeight="1">
      <c r="A5" s="315"/>
      <c r="B5" s="319" t="s">
        <v>109</v>
      </c>
      <c r="C5" s="320" t="s">
        <v>110</v>
      </c>
      <c r="D5" s="316" t="s">
        <v>111</v>
      </c>
      <c r="E5" s="318" t="s">
        <v>112</v>
      </c>
      <c r="F5" s="320" t="s">
        <v>113</v>
      </c>
      <c r="G5" s="318" t="s">
        <v>114</v>
      </c>
      <c r="H5" s="318" t="s">
        <v>115</v>
      </c>
      <c r="I5" s="318" t="s">
        <v>116</v>
      </c>
      <c r="J5" s="318"/>
      <c r="K5" s="318"/>
      <c r="L5" s="318"/>
    </row>
    <row r="6" spans="1:13" s="306" customFormat="1" ht="42.75" hidden="1">
      <c r="A6" s="321" t="s">
        <v>117</v>
      </c>
      <c r="B6" s="322" t="s">
        <v>118</v>
      </c>
      <c r="C6" s="322" t="s">
        <v>119</v>
      </c>
      <c r="D6" s="322" t="s">
        <v>120</v>
      </c>
      <c r="E6" s="323" t="s">
        <v>121</v>
      </c>
      <c r="F6" s="322" t="s">
        <v>122</v>
      </c>
      <c r="G6" s="323" t="s">
        <v>123</v>
      </c>
      <c r="H6" s="323" t="s">
        <v>124</v>
      </c>
      <c r="I6" s="323" t="s">
        <v>125</v>
      </c>
      <c r="J6" s="323" t="s">
        <v>126</v>
      </c>
      <c r="K6" s="323" t="s">
        <v>127</v>
      </c>
      <c r="L6" s="323" t="s">
        <v>128</v>
      </c>
      <c r="M6" s="275"/>
    </row>
    <row r="7" spans="1:12" ht="28.5" customHeight="1" hidden="1">
      <c r="A7" s="324" t="s">
        <v>4</v>
      </c>
      <c r="B7" s="325">
        <f>SUM(B8,B38)</f>
        <v>3569</v>
      </c>
      <c r="C7" s="325">
        <f>SUM(C8,C38)</f>
        <v>3736</v>
      </c>
      <c r="D7" s="325">
        <f>SUM(D8,D38)</f>
        <v>3707</v>
      </c>
      <c r="E7" s="326">
        <f>SUM(E8,E38)</f>
        <v>12811</v>
      </c>
      <c r="F7" s="325">
        <f>F8+F38</f>
        <v>1000</v>
      </c>
      <c r="G7" s="326">
        <f>G8+G38</f>
        <v>385</v>
      </c>
      <c r="H7" s="326">
        <f>H8+H38</f>
        <v>90</v>
      </c>
      <c r="I7" s="326">
        <f>I8+I38</f>
        <v>200</v>
      </c>
      <c r="J7" s="326">
        <v>150</v>
      </c>
      <c r="K7" s="326">
        <f>SUM(K8,K38)</f>
        <v>1949</v>
      </c>
      <c r="L7" s="326">
        <f>ROUND(L8+L38,2)</f>
        <v>15585</v>
      </c>
    </row>
    <row r="8" spans="1:12" ht="25.5" customHeight="1" hidden="1">
      <c r="A8" s="324" t="s">
        <v>10</v>
      </c>
      <c r="B8" s="325">
        <f aca="true" t="shared" si="0" ref="B8:I8">SUM(B9,B32)</f>
        <v>1018</v>
      </c>
      <c r="C8" s="325">
        <f t="shared" si="0"/>
        <v>1071</v>
      </c>
      <c r="D8" s="325">
        <f t="shared" si="0"/>
        <v>1027</v>
      </c>
      <c r="E8" s="326">
        <f t="shared" si="0"/>
        <v>3647</v>
      </c>
      <c r="F8" s="325">
        <f t="shared" si="0"/>
        <v>700</v>
      </c>
      <c r="G8" s="326">
        <f t="shared" si="0"/>
        <v>269.5</v>
      </c>
      <c r="H8" s="326">
        <f t="shared" si="0"/>
        <v>90</v>
      </c>
      <c r="I8" s="326">
        <f t="shared" si="0"/>
        <v>200</v>
      </c>
      <c r="J8" s="326">
        <v>150</v>
      </c>
      <c r="K8" s="326">
        <f>SUM(K9,K32)</f>
        <v>99.49999999999999</v>
      </c>
      <c r="L8" s="326">
        <f>SUM(L9,L32)</f>
        <v>4456</v>
      </c>
    </row>
    <row r="9" spans="1:12" ht="25.5" customHeight="1" hidden="1">
      <c r="A9" s="324" t="s">
        <v>129</v>
      </c>
      <c r="B9" s="325">
        <f>SUM(B10:B31)</f>
        <v>750</v>
      </c>
      <c r="C9" s="325">
        <f>SUM(C10:C31)</f>
        <v>742</v>
      </c>
      <c r="D9" s="325">
        <f>SUM(D10:D31)</f>
        <v>742</v>
      </c>
      <c r="E9" s="326">
        <f>SUM(E10:E31)</f>
        <v>2609</v>
      </c>
      <c r="F9" s="325">
        <f aca="true" t="shared" si="1" ref="F9:L9">SUM(F10:F31)</f>
        <v>700</v>
      </c>
      <c r="G9" s="326">
        <f t="shared" si="1"/>
        <v>269.5</v>
      </c>
      <c r="H9" s="326">
        <f t="shared" si="1"/>
        <v>90</v>
      </c>
      <c r="I9" s="326">
        <f t="shared" si="1"/>
        <v>200</v>
      </c>
      <c r="J9" s="326">
        <f t="shared" si="1"/>
        <v>150</v>
      </c>
      <c r="K9" s="326">
        <f t="shared" si="1"/>
        <v>3.499999999999986</v>
      </c>
      <c r="L9" s="326">
        <f t="shared" si="1"/>
        <v>3322</v>
      </c>
    </row>
    <row r="10" spans="1:12" ht="25.5" customHeight="1" hidden="1">
      <c r="A10" s="327" t="s">
        <v>130</v>
      </c>
      <c r="B10" s="328"/>
      <c r="C10" s="328"/>
      <c r="D10" s="328"/>
      <c r="E10" s="326"/>
      <c r="F10" s="328"/>
      <c r="G10" s="326"/>
      <c r="H10" s="326"/>
      <c r="I10" s="330">
        <v>200</v>
      </c>
      <c r="J10" s="330">
        <v>150</v>
      </c>
      <c r="K10" s="330">
        <f>VLOOKUP(A10,'住培结算'!$A:$P,9,0)</f>
        <v>0</v>
      </c>
      <c r="L10" s="330">
        <f>ROUND(E10+G10+H10+I10+J10+K10,2)</f>
        <v>350</v>
      </c>
    </row>
    <row r="11" spans="1:12" ht="25.5" customHeight="1" hidden="1">
      <c r="A11" s="327" t="s">
        <v>12</v>
      </c>
      <c r="B11" s="329">
        <v>32</v>
      </c>
      <c r="C11" s="329">
        <v>32</v>
      </c>
      <c r="D11" s="329">
        <v>32</v>
      </c>
      <c r="E11" s="330">
        <f aca="true" t="shared" si="2" ref="E11:E16">(B11+C11)*1.5+D11*0.5</f>
        <v>112</v>
      </c>
      <c r="F11" s="331">
        <v>80</v>
      </c>
      <c r="G11" s="332">
        <f>F11*0.385</f>
        <v>30.8</v>
      </c>
      <c r="H11" s="332"/>
      <c r="I11" s="332"/>
      <c r="J11" s="332"/>
      <c r="K11" s="330">
        <f>VLOOKUP(A11,'住培结算'!$A:$P,16,0)</f>
        <v>-90.8</v>
      </c>
      <c r="L11" s="330">
        <f>ROUND(E11+G11+H11+I11+J11+K11,2)</f>
        <v>52</v>
      </c>
    </row>
    <row r="12" spans="1:12" ht="25.5" customHeight="1" hidden="1">
      <c r="A12" s="327" t="s">
        <v>14</v>
      </c>
      <c r="B12" s="329">
        <v>58</v>
      </c>
      <c r="C12" s="329">
        <v>56</v>
      </c>
      <c r="D12" s="329">
        <v>56</v>
      </c>
      <c r="E12" s="330">
        <f t="shared" si="2"/>
        <v>199</v>
      </c>
      <c r="F12" s="331"/>
      <c r="G12" s="332"/>
      <c r="H12" s="332"/>
      <c r="I12" s="332"/>
      <c r="J12" s="332"/>
      <c r="K12" s="330">
        <f>VLOOKUP(A12,'住培结算'!$A:$P,16,0)</f>
        <v>0</v>
      </c>
      <c r="L12" s="330">
        <f>ROUND(E12+G12+H12+I12+J12+K12,2)</f>
        <v>199</v>
      </c>
    </row>
    <row r="13" spans="1:12" ht="25.5" customHeight="1" hidden="1">
      <c r="A13" s="327" t="s">
        <v>15</v>
      </c>
      <c r="B13" s="329">
        <v>16</v>
      </c>
      <c r="C13" s="329">
        <v>16</v>
      </c>
      <c r="D13" s="329">
        <v>30</v>
      </c>
      <c r="E13" s="330">
        <f t="shared" si="2"/>
        <v>63</v>
      </c>
      <c r="F13" s="331"/>
      <c r="G13" s="332"/>
      <c r="H13" s="332"/>
      <c r="I13" s="332"/>
      <c r="J13" s="332"/>
      <c r="K13" s="330">
        <f>VLOOKUP(A13,'住培结算'!$A:$P,16,0)</f>
        <v>-63</v>
      </c>
      <c r="L13" s="330">
        <f aca="true" t="shared" si="3" ref="L13:L19">ROUND(E13+G13+H13+I13+J13+K13,2)</f>
        <v>0</v>
      </c>
    </row>
    <row r="14" spans="1:12" ht="25.5" customHeight="1" hidden="1">
      <c r="A14" s="327" t="s">
        <v>16</v>
      </c>
      <c r="B14" s="329">
        <v>41</v>
      </c>
      <c r="C14" s="329">
        <v>40</v>
      </c>
      <c r="D14" s="329">
        <v>40</v>
      </c>
      <c r="E14" s="330">
        <f t="shared" si="2"/>
        <v>141.5</v>
      </c>
      <c r="F14" s="331">
        <v>80</v>
      </c>
      <c r="G14" s="332">
        <f>F14*0.385</f>
        <v>30.8</v>
      </c>
      <c r="H14" s="332"/>
      <c r="I14" s="332"/>
      <c r="J14" s="332"/>
      <c r="K14" s="330">
        <f>VLOOKUP(A14,'住培结算'!$A:$P,16,0)</f>
        <v>111.7</v>
      </c>
      <c r="L14" s="330">
        <f t="shared" si="3"/>
        <v>284</v>
      </c>
    </row>
    <row r="15" spans="1:12" ht="25.5" customHeight="1" hidden="1">
      <c r="A15" s="327" t="s">
        <v>17</v>
      </c>
      <c r="B15" s="329">
        <v>31</v>
      </c>
      <c r="C15" s="329">
        <v>30</v>
      </c>
      <c r="D15" s="329">
        <v>30</v>
      </c>
      <c r="E15" s="330">
        <f t="shared" si="2"/>
        <v>106.5</v>
      </c>
      <c r="F15" s="331">
        <v>80</v>
      </c>
      <c r="G15" s="332">
        <f>F15*0.385</f>
        <v>30.8</v>
      </c>
      <c r="H15" s="332"/>
      <c r="I15" s="332"/>
      <c r="J15" s="332"/>
      <c r="K15" s="330">
        <f>VLOOKUP(A15,'住培结算'!$A:$P,16,0)</f>
        <v>11.2</v>
      </c>
      <c r="L15" s="330">
        <f t="shared" si="3"/>
        <v>148.5</v>
      </c>
    </row>
    <row r="16" spans="1:12" ht="25.5" customHeight="1" hidden="1">
      <c r="A16" s="327" t="s">
        <v>13</v>
      </c>
      <c r="B16" s="329">
        <v>71</v>
      </c>
      <c r="C16" s="329">
        <v>70</v>
      </c>
      <c r="D16" s="329">
        <v>70</v>
      </c>
      <c r="E16" s="330">
        <f t="shared" si="2"/>
        <v>246.5</v>
      </c>
      <c r="F16" s="331"/>
      <c r="G16" s="332"/>
      <c r="H16" s="332"/>
      <c r="I16" s="332"/>
      <c r="J16" s="332"/>
      <c r="K16" s="330">
        <f>VLOOKUP(A16,'住培结算'!$A:$P,16,0)</f>
        <v>78</v>
      </c>
      <c r="L16" s="330">
        <f t="shared" si="3"/>
        <v>324.5</v>
      </c>
    </row>
    <row r="17" spans="1:12" ht="25.5" customHeight="1" hidden="1">
      <c r="A17" s="327" t="s">
        <v>37</v>
      </c>
      <c r="B17" s="329"/>
      <c r="C17" s="329"/>
      <c r="D17" s="329"/>
      <c r="E17" s="330">
        <v>0</v>
      </c>
      <c r="F17" s="331"/>
      <c r="G17" s="332"/>
      <c r="H17" s="332">
        <v>90</v>
      </c>
      <c r="I17" s="332">
        <v>0</v>
      </c>
      <c r="J17" s="332">
        <v>0</v>
      </c>
      <c r="K17" s="330">
        <f>VLOOKUP(A17,'住培结算'!$A:$P,16,0)</f>
        <v>0</v>
      </c>
      <c r="L17" s="330">
        <f t="shared" si="3"/>
        <v>90</v>
      </c>
    </row>
    <row r="18" spans="1:12" ht="25.5" customHeight="1" hidden="1">
      <c r="A18" s="327" t="s">
        <v>18</v>
      </c>
      <c r="B18" s="329">
        <v>41</v>
      </c>
      <c r="C18" s="329">
        <v>41</v>
      </c>
      <c r="D18" s="329">
        <v>41</v>
      </c>
      <c r="E18" s="330">
        <f>(B18+C18)*1.5+D18*0.5</f>
        <v>143.5</v>
      </c>
      <c r="F18" s="331">
        <v>100</v>
      </c>
      <c r="G18" s="332">
        <f>F18*0.385</f>
        <v>38.5</v>
      </c>
      <c r="H18" s="332"/>
      <c r="I18" s="332"/>
      <c r="J18" s="332"/>
      <c r="K18" s="330">
        <f>VLOOKUP(A18,'住培结算'!$A:$P,16,0)</f>
        <v>17</v>
      </c>
      <c r="L18" s="330">
        <f t="shared" si="3"/>
        <v>199</v>
      </c>
    </row>
    <row r="19" spans="1:12" ht="25.5" customHeight="1" hidden="1">
      <c r="A19" s="327" t="s">
        <v>19</v>
      </c>
      <c r="B19" s="329">
        <v>60</v>
      </c>
      <c r="C19" s="329">
        <v>60</v>
      </c>
      <c r="D19" s="329">
        <v>50</v>
      </c>
      <c r="E19" s="330">
        <f>(B19+C19)*1.5+D19*0.5</f>
        <v>205</v>
      </c>
      <c r="F19" s="331"/>
      <c r="G19" s="332"/>
      <c r="H19" s="332"/>
      <c r="I19" s="332"/>
      <c r="J19" s="332"/>
      <c r="K19" s="330">
        <f>VLOOKUP(A19,'住培结算'!$A:$P,16,0)</f>
        <v>-24</v>
      </c>
      <c r="L19" s="330">
        <f t="shared" si="3"/>
        <v>181</v>
      </c>
    </row>
    <row r="20" spans="1:12" ht="25.5" customHeight="1" hidden="1">
      <c r="A20" s="327" t="s">
        <v>20</v>
      </c>
      <c r="B20" s="329">
        <v>45</v>
      </c>
      <c r="C20" s="329">
        <v>45</v>
      </c>
      <c r="D20" s="329">
        <v>45</v>
      </c>
      <c r="E20" s="330">
        <f aca="true" t="shared" si="4" ref="E20:E31">(B20+C20)*1.5+D20*0.5</f>
        <v>157.5</v>
      </c>
      <c r="F20" s="331"/>
      <c r="G20" s="332"/>
      <c r="H20" s="332"/>
      <c r="I20" s="332"/>
      <c r="J20" s="332"/>
      <c r="K20" s="330">
        <f>VLOOKUP(A20,'住培结算'!$A:$P,16,0)</f>
        <v>103.5</v>
      </c>
      <c r="L20" s="330">
        <f aca="true" t="shared" si="5" ref="L20:L31">ROUND(E20+G20+H20+I20+J20+K20,2)</f>
        <v>261</v>
      </c>
    </row>
    <row r="21" spans="1:12" ht="25.5" customHeight="1" hidden="1">
      <c r="A21" s="327" t="s">
        <v>21</v>
      </c>
      <c r="B21" s="329">
        <v>7</v>
      </c>
      <c r="C21" s="329">
        <v>7</v>
      </c>
      <c r="D21" s="329">
        <v>7</v>
      </c>
      <c r="E21" s="330">
        <f t="shared" si="4"/>
        <v>24.5</v>
      </c>
      <c r="F21" s="331"/>
      <c r="G21" s="332"/>
      <c r="H21" s="332"/>
      <c r="I21" s="332"/>
      <c r="J21" s="332"/>
      <c r="K21" s="330">
        <f>VLOOKUP(A21,'住培结算'!$A:$P,16,0)</f>
        <v>10.5</v>
      </c>
      <c r="L21" s="330">
        <f t="shared" si="5"/>
        <v>35</v>
      </c>
    </row>
    <row r="22" spans="1:12" ht="25.5" customHeight="1" hidden="1">
      <c r="A22" s="327" t="s">
        <v>22</v>
      </c>
      <c r="B22" s="329">
        <v>57</v>
      </c>
      <c r="C22" s="329">
        <v>55</v>
      </c>
      <c r="D22" s="329">
        <v>55</v>
      </c>
      <c r="E22" s="330">
        <f t="shared" si="4"/>
        <v>195.5</v>
      </c>
      <c r="F22" s="331">
        <v>80</v>
      </c>
      <c r="G22" s="332">
        <f>F22*0.385</f>
        <v>30.8</v>
      </c>
      <c r="H22" s="332"/>
      <c r="I22" s="332"/>
      <c r="J22" s="332"/>
      <c r="K22" s="330">
        <f>VLOOKUP(A22,'住培结算'!$A:$P,16,0)</f>
        <v>23.2</v>
      </c>
      <c r="L22" s="330">
        <f t="shared" si="5"/>
        <v>249.5</v>
      </c>
    </row>
    <row r="23" spans="1:12" ht="25.5" customHeight="1" hidden="1">
      <c r="A23" s="327" t="s">
        <v>23</v>
      </c>
      <c r="B23" s="329">
        <v>17</v>
      </c>
      <c r="C23" s="329">
        <v>17</v>
      </c>
      <c r="D23" s="329">
        <v>17</v>
      </c>
      <c r="E23" s="330">
        <f t="shared" si="4"/>
        <v>59.5</v>
      </c>
      <c r="F23" s="331">
        <v>200</v>
      </c>
      <c r="G23" s="332">
        <f>F23*0.385</f>
        <v>77</v>
      </c>
      <c r="H23" s="332"/>
      <c r="I23" s="332"/>
      <c r="J23" s="332"/>
      <c r="K23" s="330">
        <f>VLOOKUP(A23,'住培结算'!$A:$P,16,0)</f>
        <v>14.5</v>
      </c>
      <c r="L23" s="330">
        <f t="shared" si="5"/>
        <v>151</v>
      </c>
    </row>
    <row r="24" spans="1:12" ht="25.5" customHeight="1" hidden="1">
      <c r="A24" s="327" t="s">
        <v>24</v>
      </c>
      <c r="B24" s="329">
        <v>25</v>
      </c>
      <c r="C24" s="329">
        <v>25</v>
      </c>
      <c r="D24" s="329">
        <v>25</v>
      </c>
      <c r="E24" s="330">
        <f t="shared" si="4"/>
        <v>87.5</v>
      </c>
      <c r="F24" s="331"/>
      <c r="G24" s="332"/>
      <c r="H24" s="332"/>
      <c r="I24" s="332"/>
      <c r="J24" s="332"/>
      <c r="K24" s="330">
        <f>VLOOKUP(A24,'住培结算'!$A:$P,16,0)</f>
        <v>-79.5</v>
      </c>
      <c r="L24" s="330">
        <f t="shared" si="5"/>
        <v>8</v>
      </c>
    </row>
    <row r="25" spans="1:12" ht="25.5" customHeight="1" hidden="1">
      <c r="A25" s="327" t="s">
        <v>25</v>
      </c>
      <c r="B25" s="329">
        <v>40</v>
      </c>
      <c r="C25" s="329">
        <v>40</v>
      </c>
      <c r="D25" s="329">
        <v>36</v>
      </c>
      <c r="E25" s="330">
        <f t="shared" si="4"/>
        <v>138</v>
      </c>
      <c r="F25" s="331"/>
      <c r="G25" s="332"/>
      <c r="H25" s="332"/>
      <c r="I25" s="332"/>
      <c r="J25" s="332"/>
      <c r="K25" s="330">
        <f>VLOOKUP(A25,'住培结算'!$A:$P,16,0)</f>
        <v>141</v>
      </c>
      <c r="L25" s="330">
        <f t="shared" si="5"/>
        <v>279</v>
      </c>
    </row>
    <row r="26" spans="1:12" ht="25.5" customHeight="1" hidden="1">
      <c r="A26" s="327" t="s">
        <v>26</v>
      </c>
      <c r="B26" s="329">
        <v>24</v>
      </c>
      <c r="C26" s="329">
        <v>23</v>
      </c>
      <c r="D26" s="329">
        <v>23</v>
      </c>
      <c r="E26" s="330">
        <f t="shared" si="4"/>
        <v>82</v>
      </c>
      <c r="F26" s="331"/>
      <c r="G26" s="332"/>
      <c r="H26" s="332"/>
      <c r="I26" s="332"/>
      <c r="J26" s="332"/>
      <c r="K26" s="330">
        <f>VLOOKUP(A26,'住培结算'!$A:$P,16,0)</f>
        <v>-81</v>
      </c>
      <c r="L26" s="330">
        <f t="shared" si="5"/>
        <v>1</v>
      </c>
    </row>
    <row r="27" spans="1:12" ht="25.5" customHeight="1" hidden="1">
      <c r="A27" s="327" t="s">
        <v>27</v>
      </c>
      <c r="B27" s="329">
        <v>14</v>
      </c>
      <c r="C27" s="329">
        <v>14</v>
      </c>
      <c r="D27" s="329">
        <v>14</v>
      </c>
      <c r="E27" s="330">
        <f t="shared" si="4"/>
        <v>49</v>
      </c>
      <c r="F27" s="331"/>
      <c r="G27" s="332"/>
      <c r="H27" s="332"/>
      <c r="I27" s="332"/>
      <c r="J27" s="332"/>
      <c r="K27" s="330">
        <f>VLOOKUP(A27,'住培结算'!$A:$P,16,0)</f>
        <v>-39</v>
      </c>
      <c r="L27" s="330">
        <f t="shared" si="5"/>
        <v>10</v>
      </c>
    </row>
    <row r="28" spans="1:12" ht="25.5" customHeight="1" hidden="1">
      <c r="A28" s="327" t="s">
        <v>28</v>
      </c>
      <c r="B28" s="329">
        <v>16</v>
      </c>
      <c r="C28" s="329">
        <v>16</v>
      </c>
      <c r="D28" s="329">
        <v>16</v>
      </c>
      <c r="E28" s="330">
        <f t="shared" si="4"/>
        <v>56</v>
      </c>
      <c r="F28" s="331"/>
      <c r="G28" s="332"/>
      <c r="H28" s="332"/>
      <c r="I28" s="332"/>
      <c r="J28" s="332"/>
      <c r="K28" s="330">
        <f>VLOOKUP(A28,'住培结算'!$A:$P,16,0)</f>
        <v>-37.5</v>
      </c>
      <c r="L28" s="330">
        <f t="shared" si="5"/>
        <v>18.5</v>
      </c>
    </row>
    <row r="29" spans="1:12" ht="25.5" customHeight="1" hidden="1">
      <c r="A29" s="327" t="s">
        <v>29</v>
      </c>
      <c r="B29" s="329">
        <v>37</v>
      </c>
      <c r="C29" s="329">
        <v>37</v>
      </c>
      <c r="D29" s="329">
        <v>37</v>
      </c>
      <c r="E29" s="330">
        <f t="shared" si="4"/>
        <v>129.5</v>
      </c>
      <c r="F29" s="331"/>
      <c r="G29" s="332"/>
      <c r="H29" s="332"/>
      <c r="I29" s="332"/>
      <c r="J29" s="332"/>
      <c r="K29" s="330">
        <f>VLOOKUP(A29,'住培结算'!$A:$P,16,0)</f>
        <v>-63</v>
      </c>
      <c r="L29" s="330">
        <f t="shared" si="5"/>
        <v>66.5</v>
      </c>
    </row>
    <row r="30" spans="1:12" ht="25.5" customHeight="1" hidden="1">
      <c r="A30" s="327" t="s">
        <v>30</v>
      </c>
      <c r="B30" s="329">
        <v>59</v>
      </c>
      <c r="C30" s="329">
        <v>59</v>
      </c>
      <c r="D30" s="329">
        <v>59</v>
      </c>
      <c r="E30" s="330">
        <f t="shared" si="4"/>
        <v>206.5</v>
      </c>
      <c r="F30" s="331">
        <v>80</v>
      </c>
      <c r="G30" s="332">
        <f>F30*0.385</f>
        <v>30.8</v>
      </c>
      <c r="H30" s="332"/>
      <c r="I30" s="332"/>
      <c r="J30" s="332"/>
      <c r="K30" s="330">
        <f>VLOOKUP(A30,'住培结算'!$A:$P,16,0)</f>
        <v>26.2</v>
      </c>
      <c r="L30" s="330">
        <f t="shared" si="5"/>
        <v>263.5</v>
      </c>
    </row>
    <row r="31" spans="1:12" ht="25.5" customHeight="1" hidden="1">
      <c r="A31" s="327" t="s">
        <v>31</v>
      </c>
      <c r="B31" s="329">
        <v>59</v>
      </c>
      <c r="C31" s="329">
        <v>59</v>
      </c>
      <c r="D31" s="329">
        <v>59</v>
      </c>
      <c r="E31" s="330">
        <f t="shared" si="4"/>
        <v>206.5</v>
      </c>
      <c r="F31" s="331"/>
      <c r="G31" s="332"/>
      <c r="H31" s="332"/>
      <c r="I31" s="332"/>
      <c r="J31" s="332"/>
      <c r="K31" s="330">
        <f>VLOOKUP(A31,'住培结算'!$A:$P,16,0)</f>
        <v>-55.5</v>
      </c>
      <c r="L31" s="330">
        <f t="shared" si="5"/>
        <v>151</v>
      </c>
    </row>
    <row r="32" spans="1:12" ht="25.5" customHeight="1" hidden="1">
      <c r="A32" s="324" t="s">
        <v>131</v>
      </c>
      <c r="B32" s="333">
        <f>SUM(B33:B37)</f>
        <v>268</v>
      </c>
      <c r="C32" s="333">
        <f>SUM(C33:C37)</f>
        <v>329</v>
      </c>
      <c r="D32" s="333">
        <f>SUM(D33:D37)</f>
        <v>285</v>
      </c>
      <c r="E32" s="334">
        <f>SUM(E33:E37)</f>
        <v>1038</v>
      </c>
      <c r="F32" s="335"/>
      <c r="G32" s="336"/>
      <c r="H32" s="326"/>
      <c r="I32" s="326"/>
      <c r="J32" s="326"/>
      <c r="K32" s="326">
        <f>SUM(K33:K37)</f>
        <v>96</v>
      </c>
      <c r="L32" s="326">
        <f>SUM(L33:L37)</f>
        <v>1134</v>
      </c>
    </row>
    <row r="33" spans="1:12" ht="25.5" customHeight="1" hidden="1">
      <c r="A33" s="327" t="s">
        <v>32</v>
      </c>
      <c r="B33" s="337">
        <v>21</v>
      </c>
      <c r="C33" s="337">
        <v>39</v>
      </c>
      <c r="D33" s="337">
        <v>35</v>
      </c>
      <c r="E33" s="330">
        <f>(B33+C33)*1.5+D33*0.5</f>
        <v>107.5</v>
      </c>
      <c r="F33" s="331"/>
      <c r="G33" s="332"/>
      <c r="H33" s="332"/>
      <c r="I33" s="332"/>
      <c r="J33" s="332"/>
      <c r="K33" s="330">
        <f>VLOOKUP(A33,'住培结算'!$A:$P,16,0)</f>
        <v>-12</v>
      </c>
      <c r="L33" s="330">
        <f>ROUND(E33+G33+H33+I33+J33+K33,2)</f>
        <v>95.5</v>
      </c>
    </row>
    <row r="34" spans="1:12" ht="25.5" customHeight="1" hidden="1">
      <c r="A34" s="327" t="s">
        <v>33</v>
      </c>
      <c r="B34" s="337">
        <v>49</v>
      </c>
      <c r="C34" s="337">
        <v>116</v>
      </c>
      <c r="D34" s="337">
        <v>60</v>
      </c>
      <c r="E34" s="330">
        <f>(B34+C34)*1.5+D34*0.5</f>
        <v>277.5</v>
      </c>
      <c r="F34" s="331"/>
      <c r="G34" s="332"/>
      <c r="H34" s="332"/>
      <c r="I34" s="332"/>
      <c r="J34" s="332"/>
      <c r="K34" s="330">
        <f>VLOOKUP(A34,'住培结算'!$A:$P,16,0)</f>
        <v>-123</v>
      </c>
      <c r="L34" s="330">
        <f>ROUND(E34+G34+H34+I34+J34+K34,2)</f>
        <v>154.5</v>
      </c>
    </row>
    <row r="35" spans="1:12" ht="25.5" customHeight="1" hidden="1">
      <c r="A35" s="327" t="s">
        <v>34</v>
      </c>
      <c r="B35" s="337">
        <v>141</v>
      </c>
      <c r="C35" s="337">
        <v>132</v>
      </c>
      <c r="D35" s="337">
        <v>140</v>
      </c>
      <c r="E35" s="330">
        <f>(B35+C35)*1.5+D35*0.5</f>
        <v>479.5</v>
      </c>
      <c r="F35" s="331"/>
      <c r="G35" s="332"/>
      <c r="H35" s="332"/>
      <c r="I35" s="332"/>
      <c r="J35" s="332"/>
      <c r="K35" s="330">
        <f>VLOOKUP(A35,'住培结算'!$A:$P,16,0)</f>
        <v>154.5</v>
      </c>
      <c r="L35" s="330">
        <f>ROUND(E35+G35+H35+I35+J35+K35,2)</f>
        <v>634</v>
      </c>
    </row>
    <row r="36" spans="1:12" ht="25.5" customHeight="1" hidden="1">
      <c r="A36" s="327" t="s">
        <v>36</v>
      </c>
      <c r="B36" s="337">
        <v>9</v>
      </c>
      <c r="C36" s="337">
        <v>10</v>
      </c>
      <c r="D36" s="337">
        <v>10</v>
      </c>
      <c r="E36" s="330">
        <f>(B36+C36)*1.5+D36*0.5</f>
        <v>33.5</v>
      </c>
      <c r="F36" s="331"/>
      <c r="G36" s="332"/>
      <c r="H36" s="332"/>
      <c r="I36" s="332"/>
      <c r="J36" s="332"/>
      <c r="K36" s="330">
        <f>VLOOKUP(A36,'住培结算'!$A:$P,16,0)</f>
        <v>13.5</v>
      </c>
      <c r="L36" s="330">
        <f>ROUND(E36+G36+H36+I36+J36+K36,2)</f>
        <v>47</v>
      </c>
    </row>
    <row r="37" spans="1:12" ht="25.5" customHeight="1" hidden="1">
      <c r="A37" s="327" t="s">
        <v>35</v>
      </c>
      <c r="B37" s="337">
        <v>48</v>
      </c>
      <c r="C37" s="337">
        <v>32</v>
      </c>
      <c r="D37" s="337">
        <v>40</v>
      </c>
      <c r="E37" s="330">
        <f>(B37+C37)*1.5+D37*0.5</f>
        <v>140</v>
      </c>
      <c r="F37" s="332"/>
      <c r="G37" s="332"/>
      <c r="H37" s="332"/>
      <c r="I37" s="332"/>
      <c r="J37" s="332"/>
      <c r="K37" s="330">
        <f>VLOOKUP(A37,'住培结算'!$A:$P,16,0)</f>
        <v>63</v>
      </c>
      <c r="L37" s="330">
        <f>ROUND(E37+G37+H37+I37+J37+K37,2)</f>
        <v>203</v>
      </c>
    </row>
    <row r="38" spans="1:12" ht="25.5" customHeight="1">
      <c r="A38" s="324" t="s">
        <v>42</v>
      </c>
      <c r="B38" s="333">
        <f>B39+B51+B65+B68+B71+B78+B81+B83+B86+B90+B93+B96+B99+B101+B103+B105+B108+B110+B112+B114+B116</f>
        <v>2551</v>
      </c>
      <c r="C38" s="333">
        <f>C39+C51+C65+C68+C71+C78+C81+C83+C86+C90+C93+C96+C99+C101+C103+C105+C108+C110+C112+C114+C116</f>
        <v>2665</v>
      </c>
      <c r="D38" s="333">
        <f>D39+D51+D65+D68+D71+D78+D81+D83+D86+D90+D93+D96+D99+D101+D103+D105+D108+D110+D112+D114+D116</f>
        <v>2680</v>
      </c>
      <c r="E38" s="334">
        <f>E39+E51+E65+E68+E71+E78+E81+E83+E86+E90+E93+E96+E99+E101+E103+E105+E108+E110+E112+E114+E116</f>
        <v>9164</v>
      </c>
      <c r="F38" s="328">
        <f>F39+F51</f>
        <v>300</v>
      </c>
      <c r="G38" s="326">
        <f>G39+G51</f>
        <v>115.5</v>
      </c>
      <c r="H38" s="326"/>
      <c r="I38" s="326"/>
      <c r="J38" s="326"/>
      <c r="K38" s="334">
        <f>K39+K51+K65+K68+K71+K78+K81+K83+K86+K90+K93+K96+K99+K101+K103+K105+K108+K110+K112+K114+K116</f>
        <v>1849.5</v>
      </c>
      <c r="L38" s="334">
        <f>L39+L51+L65+L68+L71+L78+L81+L83+L86+L90+L93+L96+L99+L101+L103+L105+L108+L110+L112+L114+L116</f>
        <v>11129</v>
      </c>
    </row>
    <row r="39" spans="1:12" ht="25.5" customHeight="1">
      <c r="A39" s="324" t="s">
        <v>43</v>
      </c>
      <c r="B39" s="338">
        <f>SUM(B40:B50)</f>
        <v>550</v>
      </c>
      <c r="C39" s="338">
        <f>SUM(C40:C50)</f>
        <v>557</v>
      </c>
      <c r="D39" s="338">
        <f>SUM(D40:D50)</f>
        <v>547</v>
      </c>
      <c r="E39" s="334">
        <f>SUM(E40:E50)</f>
        <v>1934</v>
      </c>
      <c r="F39" s="339">
        <f>F40</f>
        <v>100</v>
      </c>
      <c r="G39" s="340">
        <f>G40</f>
        <v>38.5</v>
      </c>
      <c r="H39" s="326"/>
      <c r="I39" s="326"/>
      <c r="J39" s="326"/>
      <c r="K39" s="334">
        <f>SUM(K41:K50)</f>
        <v>-193.5</v>
      </c>
      <c r="L39" s="334">
        <f>SUM(L40:L50)</f>
        <v>1779</v>
      </c>
    </row>
    <row r="40" spans="1:12" s="306" customFormat="1" ht="25.5" customHeight="1">
      <c r="A40" s="327" t="s">
        <v>132</v>
      </c>
      <c r="B40" s="341"/>
      <c r="C40" s="341"/>
      <c r="D40" s="341"/>
      <c r="E40" s="342">
        <v>0</v>
      </c>
      <c r="F40" s="337">
        <v>100</v>
      </c>
      <c r="G40" s="332">
        <f>F40*0.385</f>
        <v>38.5</v>
      </c>
      <c r="H40" s="330"/>
      <c r="I40" s="330"/>
      <c r="J40" s="330"/>
      <c r="K40" s="342">
        <v>0</v>
      </c>
      <c r="L40" s="330">
        <f aca="true" t="shared" si="6" ref="L40:L50">ROUND(E40+G40+H40+I40+J40+K40,2)</f>
        <v>38.5</v>
      </c>
    </row>
    <row r="41" spans="1:12" ht="25.5" customHeight="1">
      <c r="A41" s="327" t="s">
        <v>133</v>
      </c>
      <c r="B41" s="329">
        <v>41</v>
      </c>
      <c r="C41" s="329">
        <v>40</v>
      </c>
      <c r="D41" s="329">
        <v>40</v>
      </c>
      <c r="E41" s="330">
        <f>(B41+C41)*1.5+D41*0.5</f>
        <v>141.5</v>
      </c>
      <c r="F41" s="332"/>
      <c r="G41" s="332"/>
      <c r="H41" s="332"/>
      <c r="I41" s="332"/>
      <c r="J41" s="332"/>
      <c r="K41" s="330">
        <f>VLOOKUP(A41,'住培结算'!$A:$P,16,0)</f>
        <v>6</v>
      </c>
      <c r="L41" s="330">
        <f t="shared" si="6"/>
        <v>147.5</v>
      </c>
    </row>
    <row r="42" spans="1:12" ht="25.5" customHeight="1">
      <c r="A42" s="327" t="s">
        <v>134</v>
      </c>
      <c r="B42" s="329">
        <v>84</v>
      </c>
      <c r="C42" s="329">
        <v>83</v>
      </c>
      <c r="D42" s="329">
        <v>83</v>
      </c>
      <c r="E42" s="330">
        <f aca="true" t="shared" si="7" ref="E42:E50">(B42+C42)*1.5+D42*0.5</f>
        <v>292</v>
      </c>
      <c r="F42" s="332"/>
      <c r="G42" s="332"/>
      <c r="H42" s="332"/>
      <c r="I42" s="332"/>
      <c r="J42" s="332"/>
      <c r="K42" s="330">
        <f>VLOOKUP(A42,'住培结算'!$A:$P,16,0)</f>
        <v>25.5</v>
      </c>
      <c r="L42" s="330">
        <f t="shared" si="6"/>
        <v>317.5</v>
      </c>
    </row>
    <row r="43" spans="1:12" ht="25.5" customHeight="1">
      <c r="A43" s="327" t="s">
        <v>135</v>
      </c>
      <c r="B43" s="329">
        <v>52</v>
      </c>
      <c r="C43" s="329">
        <v>50</v>
      </c>
      <c r="D43" s="329">
        <v>50</v>
      </c>
      <c r="E43" s="330">
        <f t="shared" si="7"/>
        <v>178</v>
      </c>
      <c r="F43" s="332"/>
      <c r="G43" s="332"/>
      <c r="H43" s="332"/>
      <c r="I43" s="332"/>
      <c r="J43" s="332"/>
      <c r="K43" s="330">
        <f>VLOOKUP(A43,'住培结算'!$A:$P,16,0)</f>
        <v>-57</v>
      </c>
      <c r="L43" s="330">
        <f t="shared" si="6"/>
        <v>121</v>
      </c>
    </row>
    <row r="44" spans="1:12" ht="25.5" customHeight="1">
      <c r="A44" s="327" t="s">
        <v>136</v>
      </c>
      <c r="B44" s="329">
        <v>49</v>
      </c>
      <c r="C44" s="329">
        <v>48</v>
      </c>
      <c r="D44" s="329">
        <v>48</v>
      </c>
      <c r="E44" s="330">
        <f t="shared" si="7"/>
        <v>169.5</v>
      </c>
      <c r="F44" s="332"/>
      <c r="G44" s="332"/>
      <c r="H44" s="332"/>
      <c r="I44" s="332"/>
      <c r="J44" s="332"/>
      <c r="K44" s="330">
        <f>VLOOKUP(A44,'住培结算'!$A:$P,16,0)</f>
        <v>-154.5</v>
      </c>
      <c r="L44" s="330">
        <f t="shared" si="6"/>
        <v>15</v>
      </c>
    </row>
    <row r="45" spans="1:12" ht="25.5" customHeight="1">
      <c r="A45" s="327" t="s">
        <v>137</v>
      </c>
      <c r="B45" s="329">
        <v>103</v>
      </c>
      <c r="C45" s="329">
        <v>98</v>
      </c>
      <c r="D45" s="329">
        <v>98</v>
      </c>
      <c r="E45" s="330">
        <f t="shared" si="7"/>
        <v>350.5</v>
      </c>
      <c r="F45" s="332"/>
      <c r="G45" s="332"/>
      <c r="H45" s="332"/>
      <c r="I45" s="332"/>
      <c r="J45" s="332"/>
      <c r="K45" s="330">
        <f>VLOOKUP(A45,'住培结算'!$A:$P,16,0)</f>
        <v>30</v>
      </c>
      <c r="L45" s="330">
        <f t="shared" si="6"/>
        <v>380.5</v>
      </c>
    </row>
    <row r="46" spans="1:12" ht="25.5" customHeight="1">
      <c r="A46" s="327" t="s">
        <v>138</v>
      </c>
      <c r="B46" s="329">
        <v>93</v>
      </c>
      <c r="C46" s="329">
        <v>92</v>
      </c>
      <c r="D46" s="329">
        <v>92</v>
      </c>
      <c r="E46" s="330">
        <f t="shared" si="7"/>
        <v>323.5</v>
      </c>
      <c r="F46" s="332"/>
      <c r="G46" s="332"/>
      <c r="H46" s="332"/>
      <c r="I46" s="332"/>
      <c r="J46" s="332"/>
      <c r="K46" s="330">
        <f>VLOOKUP(A46,'住培结算'!$A:$P,16,0)</f>
        <v>-34.5</v>
      </c>
      <c r="L46" s="330">
        <f t="shared" si="6"/>
        <v>289</v>
      </c>
    </row>
    <row r="47" spans="1:12" ht="25.5" customHeight="1">
      <c r="A47" s="327" t="s">
        <v>139</v>
      </c>
      <c r="B47" s="329">
        <v>55</v>
      </c>
      <c r="C47" s="329">
        <v>55</v>
      </c>
      <c r="D47" s="329">
        <v>55</v>
      </c>
      <c r="E47" s="330">
        <f t="shared" si="7"/>
        <v>192.5</v>
      </c>
      <c r="F47" s="332"/>
      <c r="G47" s="332"/>
      <c r="H47" s="332"/>
      <c r="I47" s="332"/>
      <c r="J47" s="332"/>
      <c r="K47" s="330">
        <f>VLOOKUP(A47,'住培结算'!$A:$P,16,0)</f>
        <v>-70.5</v>
      </c>
      <c r="L47" s="330">
        <f t="shared" si="6"/>
        <v>122</v>
      </c>
    </row>
    <row r="48" spans="1:12" ht="25.5" customHeight="1">
      <c r="A48" s="327" t="s">
        <v>140</v>
      </c>
      <c r="B48" s="329">
        <v>26</v>
      </c>
      <c r="C48" s="329">
        <v>26</v>
      </c>
      <c r="D48" s="329">
        <v>26</v>
      </c>
      <c r="E48" s="330">
        <f t="shared" si="7"/>
        <v>91</v>
      </c>
      <c r="F48" s="332"/>
      <c r="G48" s="332"/>
      <c r="H48" s="332"/>
      <c r="I48" s="332"/>
      <c r="J48" s="332"/>
      <c r="K48" s="330">
        <f>VLOOKUP(A48,'住培结算'!$A:$P,16,0)</f>
        <v>15</v>
      </c>
      <c r="L48" s="330">
        <f t="shared" si="6"/>
        <v>106</v>
      </c>
    </row>
    <row r="49" spans="1:12" ht="25.5" customHeight="1">
      <c r="A49" s="327" t="s">
        <v>141</v>
      </c>
      <c r="B49" s="337">
        <v>13</v>
      </c>
      <c r="C49" s="337">
        <v>14</v>
      </c>
      <c r="D49" s="337">
        <v>15</v>
      </c>
      <c r="E49" s="330">
        <f t="shared" si="7"/>
        <v>48</v>
      </c>
      <c r="F49" s="332"/>
      <c r="G49" s="332"/>
      <c r="H49" s="332"/>
      <c r="I49" s="332"/>
      <c r="J49" s="332"/>
      <c r="K49" s="330">
        <f>VLOOKUP(A49,'住培结算'!$A:$P,16,0)</f>
        <v>19.5</v>
      </c>
      <c r="L49" s="330">
        <f t="shared" si="6"/>
        <v>67.5</v>
      </c>
    </row>
    <row r="50" spans="1:12" ht="25.5" customHeight="1">
      <c r="A50" s="327" t="s">
        <v>142</v>
      </c>
      <c r="B50" s="337">
        <v>34</v>
      </c>
      <c r="C50" s="337">
        <v>51</v>
      </c>
      <c r="D50" s="337">
        <v>40</v>
      </c>
      <c r="E50" s="330">
        <f t="shared" si="7"/>
        <v>147.5</v>
      </c>
      <c r="F50" s="332"/>
      <c r="G50" s="332"/>
      <c r="H50" s="332"/>
      <c r="I50" s="332"/>
      <c r="J50" s="332"/>
      <c r="K50" s="330">
        <f>VLOOKUP(A50,'住培结算'!$A:$P,16,0)</f>
        <v>27</v>
      </c>
      <c r="L50" s="330">
        <f t="shared" si="6"/>
        <v>174.5</v>
      </c>
    </row>
    <row r="51" spans="1:12" ht="25.5" customHeight="1">
      <c r="A51" s="324" t="s">
        <v>44</v>
      </c>
      <c r="B51" s="333">
        <f>SUM(B52:B64)</f>
        <v>728</v>
      </c>
      <c r="C51" s="333">
        <f>SUM(C52:C64)</f>
        <v>773</v>
      </c>
      <c r="D51" s="333">
        <f>SUM(D52:D64)</f>
        <v>760</v>
      </c>
      <c r="E51" s="334">
        <f>SUM(E52:E64)</f>
        <v>2631.5</v>
      </c>
      <c r="F51" s="339">
        <f>F52</f>
        <v>200</v>
      </c>
      <c r="G51" s="340">
        <f>G52</f>
        <v>77</v>
      </c>
      <c r="H51" s="326"/>
      <c r="I51" s="326"/>
      <c r="J51" s="326"/>
      <c r="K51" s="334">
        <f>SUM(K53:K64)</f>
        <v>510</v>
      </c>
      <c r="L51" s="334">
        <f>SUM(L52:L64)</f>
        <v>3218.5</v>
      </c>
    </row>
    <row r="52" spans="1:12" s="306" customFormat="1" ht="25.5" customHeight="1">
      <c r="A52" s="327" t="s">
        <v>143</v>
      </c>
      <c r="B52" s="343"/>
      <c r="C52" s="343"/>
      <c r="D52" s="343"/>
      <c r="E52" s="342"/>
      <c r="F52" s="337">
        <v>200</v>
      </c>
      <c r="G52" s="332">
        <f>F52*0.385</f>
        <v>77</v>
      </c>
      <c r="H52" s="330"/>
      <c r="I52" s="330"/>
      <c r="J52" s="330"/>
      <c r="K52" s="342"/>
      <c r="L52" s="330">
        <f aca="true" t="shared" si="8" ref="L52:L64">ROUND(E52+G52+H52+I52+J52+K52,2)</f>
        <v>77</v>
      </c>
    </row>
    <row r="53" spans="1:12" ht="25.5" customHeight="1">
      <c r="A53" s="327" t="s">
        <v>144</v>
      </c>
      <c r="B53" s="329">
        <v>96</v>
      </c>
      <c r="C53" s="329">
        <v>95</v>
      </c>
      <c r="D53" s="329">
        <v>95</v>
      </c>
      <c r="E53" s="330">
        <f>(B53+C53)*1.5+D53*0.5</f>
        <v>334</v>
      </c>
      <c r="F53" s="332"/>
      <c r="G53" s="332"/>
      <c r="H53" s="332"/>
      <c r="I53" s="332"/>
      <c r="J53" s="332"/>
      <c r="K53" s="330">
        <f>VLOOKUP(A53,'住培结算'!$A:$P,16,0)</f>
        <v>-10.5</v>
      </c>
      <c r="L53" s="330">
        <f t="shared" si="8"/>
        <v>323.5</v>
      </c>
    </row>
    <row r="54" spans="1:12" ht="25.5" customHeight="1">
      <c r="A54" s="327" t="s">
        <v>145</v>
      </c>
      <c r="B54" s="329">
        <v>151</v>
      </c>
      <c r="C54" s="329">
        <v>141</v>
      </c>
      <c r="D54" s="329">
        <v>141</v>
      </c>
      <c r="E54" s="330">
        <f aca="true" t="shared" si="9" ref="E54:E64">(B54+C54)*1.5+D54*0.5</f>
        <v>508.5</v>
      </c>
      <c r="F54" s="332"/>
      <c r="G54" s="332"/>
      <c r="H54" s="332"/>
      <c r="I54" s="332"/>
      <c r="J54" s="332"/>
      <c r="K54" s="330">
        <f>VLOOKUP(A54,'住培结算'!$A:$P,16,0)</f>
        <v>139.5</v>
      </c>
      <c r="L54" s="330">
        <f t="shared" si="8"/>
        <v>648</v>
      </c>
    </row>
    <row r="55" spans="1:12" ht="25.5" customHeight="1">
      <c r="A55" s="327" t="s">
        <v>146</v>
      </c>
      <c r="B55" s="329">
        <v>134</v>
      </c>
      <c r="C55" s="329">
        <v>130</v>
      </c>
      <c r="D55" s="329">
        <v>130</v>
      </c>
      <c r="E55" s="330">
        <f t="shared" si="9"/>
        <v>461</v>
      </c>
      <c r="F55" s="332"/>
      <c r="G55" s="332"/>
      <c r="H55" s="332"/>
      <c r="I55" s="332"/>
      <c r="J55" s="332"/>
      <c r="K55" s="330">
        <f>VLOOKUP(A55,'住培结算'!$A:$P,16,0)</f>
        <v>273</v>
      </c>
      <c r="L55" s="330">
        <f t="shared" si="8"/>
        <v>734</v>
      </c>
    </row>
    <row r="56" spans="1:12" ht="31.5" customHeight="1">
      <c r="A56" s="327" t="s">
        <v>147</v>
      </c>
      <c r="B56" s="329">
        <v>53</v>
      </c>
      <c r="C56" s="329">
        <v>52</v>
      </c>
      <c r="D56" s="329">
        <v>52</v>
      </c>
      <c r="E56" s="330">
        <f t="shared" si="9"/>
        <v>183.5</v>
      </c>
      <c r="F56" s="332"/>
      <c r="G56" s="332"/>
      <c r="H56" s="332"/>
      <c r="I56" s="332"/>
      <c r="J56" s="332"/>
      <c r="K56" s="330">
        <f>VLOOKUP(A56,'住培结算'!$A:$P,16,0)</f>
        <v>-67.5</v>
      </c>
      <c r="L56" s="330">
        <f t="shared" si="8"/>
        <v>116</v>
      </c>
    </row>
    <row r="57" spans="1:12" ht="25.5" customHeight="1">
      <c r="A57" s="327" t="s">
        <v>148</v>
      </c>
      <c r="B57" s="329">
        <v>19</v>
      </c>
      <c r="C57" s="329">
        <v>19</v>
      </c>
      <c r="D57" s="329">
        <v>19</v>
      </c>
      <c r="E57" s="330">
        <f t="shared" si="9"/>
        <v>66.5</v>
      </c>
      <c r="F57" s="332"/>
      <c r="G57" s="332"/>
      <c r="H57" s="332"/>
      <c r="I57" s="332"/>
      <c r="J57" s="332"/>
      <c r="K57" s="330">
        <f>VLOOKUP(A57,'住培结算'!$A:$P,16,0)</f>
        <v>-6</v>
      </c>
      <c r="L57" s="330">
        <f t="shared" si="8"/>
        <v>60.5</v>
      </c>
    </row>
    <row r="58" spans="1:12" ht="25.5" customHeight="1">
      <c r="A58" s="327" t="s">
        <v>149</v>
      </c>
      <c r="B58" s="329">
        <v>58</v>
      </c>
      <c r="C58" s="329">
        <v>56</v>
      </c>
      <c r="D58" s="329">
        <v>56</v>
      </c>
      <c r="E58" s="330">
        <f t="shared" si="9"/>
        <v>199</v>
      </c>
      <c r="F58" s="332"/>
      <c r="G58" s="332"/>
      <c r="H58" s="332"/>
      <c r="I58" s="332"/>
      <c r="J58" s="332"/>
      <c r="K58" s="330">
        <f>VLOOKUP(A58,'住培结算'!$A:$P,16,0)</f>
        <v>-42</v>
      </c>
      <c r="L58" s="330">
        <f t="shared" si="8"/>
        <v>157</v>
      </c>
    </row>
    <row r="59" spans="1:12" ht="25.5" customHeight="1">
      <c r="A59" s="327" t="s">
        <v>150</v>
      </c>
      <c r="B59" s="329">
        <v>4</v>
      </c>
      <c r="C59" s="329">
        <v>4</v>
      </c>
      <c r="D59" s="329">
        <v>4</v>
      </c>
      <c r="E59" s="330">
        <f t="shared" si="9"/>
        <v>14</v>
      </c>
      <c r="F59" s="332"/>
      <c r="G59" s="332"/>
      <c r="H59" s="332"/>
      <c r="I59" s="332"/>
      <c r="J59" s="332"/>
      <c r="K59" s="330">
        <f>VLOOKUP(A59,'住培结算'!$A:$P,16,0)</f>
        <v>6</v>
      </c>
      <c r="L59" s="330">
        <f t="shared" si="8"/>
        <v>20</v>
      </c>
    </row>
    <row r="60" spans="1:12" ht="25.5" customHeight="1">
      <c r="A60" s="327" t="s">
        <v>151</v>
      </c>
      <c r="B60" s="329">
        <v>22</v>
      </c>
      <c r="C60" s="329">
        <v>22</v>
      </c>
      <c r="D60" s="329">
        <v>22</v>
      </c>
      <c r="E60" s="330">
        <f t="shared" si="9"/>
        <v>77</v>
      </c>
      <c r="F60" s="332"/>
      <c r="G60" s="332"/>
      <c r="H60" s="332"/>
      <c r="I60" s="332"/>
      <c r="J60" s="332"/>
      <c r="K60" s="330">
        <f>VLOOKUP(A60,'住培结算'!$A:$P,16,0)</f>
        <v>33</v>
      </c>
      <c r="L60" s="330">
        <f t="shared" si="8"/>
        <v>110</v>
      </c>
    </row>
    <row r="61" spans="1:12" ht="25.5" customHeight="1">
      <c r="A61" s="327" t="s">
        <v>152</v>
      </c>
      <c r="B61" s="329">
        <v>11</v>
      </c>
      <c r="C61" s="329">
        <v>11</v>
      </c>
      <c r="D61" s="329">
        <v>11</v>
      </c>
      <c r="E61" s="330">
        <f t="shared" si="9"/>
        <v>38.5</v>
      </c>
      <c r="F61" s="332"/>
      <c r="G61" s="332"/>
      <c r="H61" s="332"/>
      <c r="I61" s="332"/>
      <c r="J61" s="332"/>
      <c r="K61" s="330">
        <f>VLOOKUP(A61,'住培结算'!$A:$P,16,0)</f>
        <v>16.5</v>
      </c>
      <c r="L61" s="330">
        <f t="shared" si="8"/>
        <v>55</v>
      </c>
    </row>
    <row r="62" spans="1:12" ht="25.5" customHeight="1">
      <c r="A62" s="327" t="s">
        <v>153</v>
      </c>
      <c r="B62" s="337">
        <v>49</v>
      </c>
      <c r="C62" s="337">
        <v>50</v>
      </c>
      <c r="D62" s="337">
        <v>50</v>
      </c>
      <c r="E62" s="330">
        <f t="shared" si="9"/>
        <v>173.5</v>
      </c>
      <c r="F62" s="332"/>
      <c r="G62" s="332"/>
      <c r="H62" s="332"/>
      <c r="I62" s="332"/>
      <c r="J62" s="332"/>
      <c r="K62" s="330">
        <f>VLOOKUP(A62,'住培结算'!$A:$P,16,0)</f>
        <v>73.5</v>
      </c>
      <c r="L62" s="330">
        <f t="shared" si="8"/>
        <v>247</v>
      </c>
    </row>
    <row r="63" spans="1:12" ht="25.5" customHeight="1">
      <c r="A63" s="327" t="s">
        <v>154</v>
      </c>
      <c r="B63" s="337">
        <v>72</v>
      </c>
      <c r="C63" s="337">
        <v>75</v>
      </c>
      <c r="D63" s="337">
        <v>55</v>
      </c>
      <c r="E63" s="330">
        <f t="shared" si="9"/>
        <v>248</v>
      </c>
      <c r="F63" s="332"/>
      <c r="G63" s="332"/>
      <c r="H63" s="332"/>
      <c r="I63" s="332"/>
      <c r="J63" s="332"/>
      <c r="K63" s="330">
        <f>VLOOKUP(A63,'住培结算'!$A:$P,16,0)</f>
        <v>108</v>
      </c>
      <c r="L63" s="330">
        <f t="shared" si="8"/>
        <v>356</v>
      </c>
    </row>
    <row r="64" spans="1:12" ht="25.5" customHeight="1">
      <c r="A64" s="327" t="s">
        <v>155</v>
      </c>
      <c r="B64" s="337">
        <v>59</v>
      </c>
      <c r="C64" s="337">
        <v>118</v>
      </c>
      <c r="D64" s="337">
        <v>125</v>
      </c>
      <c r="E64" s="330">
        <f t="shared" si="9"/>
        <v>328</v>
      </c>
      <c r="F64" s="332"/>
      <c r="G64" s="332"/>
      <c r="H64" s="332"/>
      <c r="I64" s="332"/>
      <c r="J64" s="332"/>
      <c r="K64" s="330">
        <f>VLOOKUP(A64,'住培结算'!$A:$P,16,0)</f>
        <v>-13.5</v>
      </c>
      <c r="L64" s="330">
        <f t="shared" si="8"/>
        <v>314.5</v>
      </c>
    </row>
    <row r="65" spans="1:12" ht="25.5" customHeight="1">
      <c r="A65" s="324" t="s">
        <v>45</v>
      </c>
      <c r="B65" s="333">
        <f>SUM(B66:B67)</f>
        <v>221</v>
      </c>
      <c r="C65" s="333">
        <f>SUM(C66:C67)</f>
        <v>215</v>
      </c>
      <c r="D65" s="333">
        <f>SUM(D66:D67)</f>
        <v>215</v>
      </c>
      <c r="E65" s="334">
        <f>SUM(E66:E67)</f>
        <v>761.5</v>
      </c>
      <c r="F65" s="328"/>
      <c r="G65" s="336"/>
      <c r="H65" s="326"/>
      <c r="I65" s="326"/>
      <c r="J65" s="326">
        <f>J66+J67</f>
        <v>0</v>
      </c>
      <c r="K65" s="334">
        <f>SUM(K66:K67)</f>
        <v>342</v>
      </c>
      <c r="L65" s="334">
        <f>SUM(L66:L67)</f>
        <v>1103.5</v>
      </c>
    </row>
    <row r="66" spans="1:12" ht="25.5" customHeight="1">
      <c r="A66" s="327" t="s">
        <v>156</v>
      </c>
      <c r="B66" s="329">
        <v>76</v>
      </c>
      <c r="C66" s="329">
        <v>75</v>
      </c>
      <c r="D66" s="329">
        <v>75</v>
      </c>
      <c r="E66" s="330">
        <f>(B66+C66)*1.5+D66*0.5</f>
        <v>264</v>
      </c>
      <c r="F66" s="332"/>
      <c r="G66" s="332"/>
      <c r="H66" s="332"/>
      <c r="I66" s="332"/>
      <c r="J66" s="332"/>
      <c r="K66" s="330">
        <f>VLOOKUP(A66,'住培结算'!$A:$P,16,0)</f>
        <v>-1.5</v>
      </c>
      <c r="L66" s="330">
        <f>ROUND(E66+G66+H66+I66+J66+K66,2)</f>
        <v>262.5</v>
      </c>
    </row>
    <row r="67" spans="1:12" ht="25.5" customHeight="1">
      <c r="A67" s="327" t="s">
        <v>157</v>
      </c>
      <c r="B67" s="329">
        <v>145</v>
      </c>
      <c r="C67" s="329">
        <v>140</v>
      </c>
      <c r="D67" s="329">
        <v>140</v>
      </c>
      <c r="E67" s="330">
        <f>(B67+C67)*1.5+D67*0.5</f>
        <v>497.5</v>
      </c>
      <c r="F67" s="332"/>
      <c r="G67" s="332"/>
      <c r="H67" s="332"/>
      <c r="I67" s="332"/>
      <c r="J67" s="332"/>
      <c r="K67" s="330">
        <f>VLOOKUP(A67,'住培结算'!$A:$P,16,0)</f>
        <v>343.5</v>
      </c>
      <c r="L67" s="330">
        <f>ROUND(E67+G67+H67+I67+J67+K67,2)</f>
        <v>841</v>
      </c>
    </row>
    <row r="68" spans="1:12" ht="25.5" customHeight="1">
      <c r="A68" s="324" t="s">
        <v>46</v>
      </c>
      <c r="B68" s="333">
        <f>SUM(B69:B70)</f>
        <v>34</v>
      </c>
      <c r="C68" s="333">
        <f>SUM(C69:C70)</f>
        <v>42</v>
      </c>
      <c r="D68" s="333">
        <f>SUM(D69:D70)</f>
        <v>47</v>
      </c>
      <c r="E68" s="334">
        <f>SUM(E69:E70)</f>
        <v>137.5</v>
      </c>
      <c r="F68" s="328"/>
      <c r="G68" s="336"/>
      <c r="H68" s="326"/>
      <c r="I68" s="326"/>
      <c r="J68" s="326">
        <f>J69</f>
        <v>0</v>
      </c>
      <c r="K68" s="326">
        <f>K69+K70</f>
        <v>52.5</v>
      </c>
      <c r="L68" s="326">
        <f>L69+L70</f>
        <v>190</v>
      </c>
    </row>
    <row r="69" spans="1:12" ht="25.5" customHeight="1">
      <c r="A69" s="327" t="s">
        <v>158</v>
      </c>
      <c r="B69" s="329">
        <v>32</v>
      </c>
      <c r="C69" s="329">
        <v>32</v>
      </c>
      <c r="D69" s="329">
        <v>32</v>
      </c>
      <c r="E69" s="330">
        <f>(B69+C69)*1.5+D69*0.5</f>
        <v>112</v>
      </c>
      <c r="F69" s="332"/>
      <c r="G69" s="332"/>
      <c r="H69" s="332"/>
      <c r="I69" s="332"/>
      <c r="J69" s="332"/>
      <c r="K69" s="330">
        <f>VLOOKUP(A69,'住培结算'!$A:$P,16,0)</f>
        <v>49.5</v>
      </c>
      <c r="L69" s="330">
        <f>ROUND(E69+G69+H69+I69+J69+K69,2)</f>
        <v>161.5</v>
      </c>
    </row>
    <row r="70" spans="1:12" ht="25.5" customHeight="1">
      <c r="A70" s="327" t="s">
        <v>159</v>
      </c>
      <c r="B70" s="337">
        <v>2</v>
      </c>
      <c r="C70" s="337">
        <v>10</v>
      </c>
      <c r="D70" s="337">
        <v>15</v>
      </c>
      <c r="E70" s="330">
        <f>(B70+C70)*1.5+D70*0.5</f>
        <v>25.5</v>
      </c>
      <c r="F70" s="332"/>
      <c r="G70" s="332"/>
      <c r="H70" s="332"/>
      <c r="I70" s="332"/>
      <c r="J70" s="332"/>
      <c r="K70" s="330">
        <f>VLOOKUP(A70,'住培结算'!$A:$P,16,0)</f>
        <v>3</v>
      </c>
      <c r="L70" s="330">
        <f>ROUND(E70+G70+H70+I70+J70+K70,2)</f>
        <v>28.5</v>
      </c>
    </row>
    <row r="71" spans="1:12" ht="25.5" customHeight="1">
      <c r="A71" s="324" t="s">
        <v>47</v>
      </c>
      <c r="B71" s="333">
        <f>SUM(B72:B77)</f>
        <v>234</v>
      </c>
      <c r="C71" s="333">
        <f>SUM(C72:C77)</f>
        <v>231</v>
      </c>
      <c r="D71" s="333">
        <f>SUM(D72:D77)</f>
        <v>238</v>
      </c>
      <c r="E71" s="334">
        <f>SUM(E72:E77)</f>
        <v>816.5</v>
      </c>
      <c r="F71" s="328"/>
      <c r="G71" s="336"/>
      <c r="H71" s="326"/>
      <c r="I71" s="326"/>
      <c r="J71" s="326">
        <f>SUM(J72:J77)</f>
        <v>0</v>
      </c>
      <c r="K71" s="326">
        <f>K72+K73+K74+K75+K76+K77</f>
        <v>273</v>
      </c>
      <c r="L71" s="326">
        <f>L72+L73+L74+L75+L76+L77</f>
        <v>1089.5</v>
      </c>
    </row>
    <row r="72" spans="1:12" ht="25.5" customHeight="1">
      <c r="A72" s="327" t="s">
        <v>160</v>
      </c>
      <c r="B72" s="329">
        <v>80</v>
      </c>
      <c r="C72" s="329">
        <v>80</v>
      </c>
      <c r="D72" s="329">
        <v>80</v>
      </c>
      <c r="E72" s="330">
        <f aca="true" t="shared" si="10" ref="E72:E77">(B72+C72)*1.5+D72*0.5</f>
        <v>280</v>
      </c>
      <c r="F72" s="332"/>
      <c r="G72" s="332"/>
      <c r="H72" s="332"/>
      <c r="I72" s="332"/>
      <c r="J72" s="332"/>
      <c r="K72" s="330">
        <f>VLOOKUP(A72,'住培结算'!$A:$P,16,0)</f>
        <v>43.5</v>
      </c>
      <c r="L72" s="330">
        <f aca="true" t="shared" si="11" ref="L72:L77">ROUND(E72+G72+H72+I72+J72+K72,2)</f>
        <v>323.5</v>
      </c>
    </row>
    <row r="73" spans="1:12" ht="25.5" customHeight="1">
      <c r="A73" s="327" t="s">
        <v>161</v>
      </c>
      <c r="B73" s="329">
        <v>38</v>
      </c>
      <c r="C73" s="329">
        <v>38</v>
      </c>
      <c r="D73" s="329">
        <v>38</v>
      </c>
      <c r="E73" s="330">
        <f t="shared" si="10"/>
        <v>133</v>
      </c>
      <c r="F73" s="332"/>
      <c r="G73" s="332"/>
      <c r="H73" s="332"/>
      <c r="I73" s="332"/>
      <c r="J73" s="332"/>
      <c r="K73" s="330">
        <f>VLOOKUP(A73,'住培结算'!$A:$P,16,0)</f>
        <v>79.5</v>
      </c>
      <c r="L73" s="330">
        <f t="shared" si="11"/>
        <v>212.5</v>
      </c>
    </row>
    <row r="74" spans="1:12" ht="25.5" customHeight="1">
      <c r="A74" s="327" t="s">
        <v>162</v>
      </c>
      <c r="B74" s="329">
        <v>38</v>
      </c>
      <c r="C74" s="329">
        <v>35</v>
      </c>
      <c r="D74" s="329">
        <v>35</v>
      </c>
      <c r="E74" s="330">
        <f t="shared" si="10"/>
        <v>127</v>
      </c>
      <c r="F74" s="332"/>
      <c r="G74" s="332"/>
      <c r="H74" s="332"/>
      <c r="I74" s="332"/>
      <c r="J74" s="332"/>
      <c r="K74" s="330">
        <f>VLOOKUP(A74,'住培结算'!$A:$P,16,0)</f>
        <v>57</v>
      </c>
      <c r="L74" s="330">
        <f t="shared" si="11"/>
        <v>184</v>
      </c>
    </row>
    <row r="75" spans="1:12" ht="25.5" customHeight="1">
      <c r="A75" s="327" t="s">
        <v>163</v>
      </c>
      <c r="B75" s="337">
        <v>13</v>
      </c>
      <c r="C75" s="337">
        <v>15</v>
      </c>
      <c r="D75" s="337">
        <v>15</v>
      </c>
      <c r="E75" s="330">
        <f t="shared" si="10"/>
        <v>49.5</v>
      </c>
      <c r="F75" s="332"/>
      <c r="G75" s="332"/>
      <c r="H75" s="332"/>
      <c r="I75" s="332"/>
      <c r="J75" s="332"/>
      <c r="K75" s="330">
        <f>VLOOKUP(A75,'住培结算'!$A:$P,16,0)</f>
        <v>19.5</v>
      </c>
      <c r="L75" s="330">
        <f t="shared" si="11"/>
        <v>69</v>
      </c>
    </row>
    <row r="76" spans="1:12" ht="25.5" customHeight="1">
      <c r="A76" s="327" t="s">
        <v>164</v>
      </c>
      <c r="B76" s="337">
        <v>8</v>
      </c>
      <c r="C76" s="337">
        <v>7</v>
      </c>
      <c r="D76" s="337">
        <v>10</v>
      </c>
      <c r="E76" s="330">
        <f t="shared" si="10"/>
        <v>27.5</v>
      </c>
      <c r="F76" s="332"/>
      <c r="G76" s="332"/>
      <c r="H76" s="332"/>
      <c r="I76" s="332"/>
      <c r="J76" s="332"/>
      <c r="K76" s="330">
        <f>VLOOKUP(A76,'住培结算'!$A:$P,16,0)</f>
        <v>12</v>
      </c>
      <c r="L76" s="330">
        <f t="shared" si="11"/>
        <v>39.5</v>
      </c>
    </row>
    <row r="77" spans="1:12" ht="25.5" customHeight="1">
      <c r="A77" s="327" t="s">
        <v>165</v>
      </c>
      <c r="B77" s="337">
        <v>57</v>
      </c>
      <c r="C77" s="337">
        <v>56</v>
      </c>
      <c r="D77" s="337">
        <v>60</v>
      </c>
      <c r="E77" s="330">
        <f t="shared" si="10"/>
        <v>199.5</v>
      </c>
      <c r="F77" s="332"/>
      <c r="G77" s="332"/>
      <c r="H77" s="332"/>
      <c r="I77" s="332"/>
      <c r="J77" s="332"/>
      <c r="K77" s="330">
        <f>VLOOKUP(A77,'住培结算'!$A:$P,16,0)</f>
        <v>61.5</v>
      </c>
      <c r="L77" s="330">
        <f t="shared" si="11"/>
        <v>261</v>
      </c>
    </row>
    <row r="78" spans="1:12" ht="25.5" customHeight="1">
      <c r="A78" s="324" t="s">
        <v>48</v>
      </c>
      <c r="B78" s="333">
        <f>B79+B80</f>
        <v>28</v>
      </c>
      <c r="C78" s="333">
        <f>C79+C80</f>
        <v>28</v>
      </c>
      <c r="D78" s="333">
        <f>D79+D80</f>
        <v>28</v>
      </c>
      <c r="E78" s="334">
        <f>E79+E80</f>
        <v>98</v>
      </c>
      <c r="F78" s="328"/>
      <c r="G78" s="336"/>
      <c r="H78" s="326"/>
      <c r="I78" s="326"/>
      <c r="J78" s="326">
        <f>J79</f>
        <v>0</v>
      </c>
      <c r="K78" s="326">
        <f>K79+K80</f>
        <v>40.5</v>
      </c>
      <c r="L78" s="326">
        <f>L79+L80</f>
        <v>138.5</v>
      </c>
    </row>
    <row r="79" spans="1:12" ht="25.5" customHeight="1">
      <c r="A79" s="327" t="s">
        <v>166</v>
      </c>
      <c r="B79" s="329">
        <v>28</v>
      </c>
      <c r="C79" s="329">
        <v>28</v>
      </c>
      <c r="D79" s="329">
        <v>28</v>
      </c>
      <c r="E79" s="330">
        <f aca="true" t="shared" si="12" ref="E79:E85">(B79+C79)*1.5+D79*0.5</f>
        <v>98</v>
      </c>
      <c r="F79" s="332"/>
      <c r="G79" s="332"/>
      <c r="H79" s="332"/>
      <c r="I79" s="332"/>
      <c r="J79" s="332"/>
      <c r="K79" s="330">
        <f>VLOOKUP(A79,'住培结算'!$A:$P,16,0)</f>
        <v>40.5</v>
      </c>
      <c r="L79" s="330">
        <f>ROUND(E79+G79+H79+I79+J79+K79,2)</f>
        <v>138.5</v>
      </c>
    </row>
    <row r="80" spans="1:12" ht="25.5" customHeight="1">
      <c r="A80" s="327" t="s">
        <v>167</v>
      </c>
      <c r="B80" s="337">
        <v>0</v>
      </c>
      <c r="C80" s="337">
        <v>0</v>
      </c>
      <c r="D80" s="337">
        <v>0</v>
      </c>
      <c r="E80" s="330">
        <f t="shared" si="12"/>
        <v>0</v>
      </c>
      <c r="F80" s="332"/>
      <c r="G80" s="332"/>
      <c r="H80" s="332"/>
      <c r="I80" s="332"/>
      <c r="J80" s="332"/>
      <c r="K80" s="330">
        <f>VLOOKUP(A80,'住培结算'!$A:$P,16,0)</f>
        <v>0</v>
      </c>
      <c r="L80" s="330">
        <f>ROUND(E80+G80+H80+I80+J80+K80,2)</f>
        <v>0</v>
      </c>
    </row>
    <row r="81" spans="1:12" ht="25.5" customHeight="1">
      <c r="A81" s="324" t="s">
        <v>50</v>
      </c>
      <c r="B81" s="333">
        <f>B82</f>
        <v>42</v>
      </c>
      <c r="C81" s="333">
        <f>C82</f>
        <v>42</v>
      </c>
      <c r="D81" s="333">
        <f>D82</f>
        <v>42</v>
      </c>
      <c r="E81" s="334">
        <f>E82</f>
        <v>147</v>
      </c>
      <c r="F81" s="328"/>
      <c r="G81" s="336"/>
      <c r="H81" s="326"/>
      <c r="I81" s="326"/>
      <c r="J81" s="326">
        <f>J82</f>
        <v>0</v>
      </c>
      <c r="K81" s="326">
        <f>K82</f>
        <v>57</v>
      </c>
      <c r="L81" s="326">
        <f>L82</f>
        <v>204</v>
      </c>
    </row>
    <row r="82" spans="1:12" ht="25.5" customHeight="1">
      <c r="A82" s="327" t="s">
        <v>168</v>
      </c>
      <c r="B82" s="329">
        <v>42</v>
      </c>
      <c r="C82" s="329">
        <v>42</v>
      </c>
      <c r="D82" s="329">
        <v>42</v>
      </c>
      <c r="E82" s="330">
        <f t="shared" si="12"/>
        <v>147</v>
      </c>
      <c r="F82" s="332"/>
      <c r="G82" s="332"/>
      <c r="H82" s="332"/>
      <c r="I82" s="332"/>
      <c r="J82" s="332"/>
      <c r="K82" s="330">
        <f>VLOOKUP(A82,'住培结算'!$A:$P,16,0)</f>
        <v>57</v>
      </c>
      <c r="L82" s="330">
        <f>ROUND(E82+G82+H82+I82+J82+K82,2)</f>
        <v>204</v>
      </c>
    </row>
    <row r="83" spans="1:12" ht="25.5" customHeight="1">
      <c r="A83" s="324" t="s">
        <v>51</v>
      </c>
      <c r="B83" s="333">
        <f>B84+B85</f>
        <v>25</v>
      </c>
      <c r="C83" s="333">
        <f>C84+C85</f>
        <v>34</v>
      </c>
      <c r="D83" s="333">
        <f>D84+D85</f>
        <v>42</v>
      </c>
      <c r="E83" s="334">
        <f>E84+E85</f>
        <v>109.5</v>
      </c>
      <c r="F83" s="328"/>
      <c r="G83" s="336"/>
      <c r="H83" s="326"/>
      <c r="I83" s="326"/>
      <c r="J83" s="326">
        <f>J84</f>
        <v>0</v>
      </c>
      <c r="K83" s="326">
        <f>K84+K85</f>
        <v>30</v>
      </c>
      <c r="L83" s="326">
        <f>L84+L85</f>
        <v>139.5</v>
      </c>
    </row>
    <row r="84" spans="1:12" ht="25.5" customHeight="1">
      <c r="A84" s="327" t="s">
        <v>169</v>
      </c>
      <c r="B84" s="329">
        <v>22</v>
      </c>
      <c r="C84" s="329">
        <v>22</v>
      </c>
      <c r="D84" s="329">
        <v>22</v>
      </c>
      <c r="E84" s="330">
        <f t="shared" si="12"/>
        <v>77</v>
      </c>
      <c r="F84" s="332"/>
      <c r="G84" s="332"/>
      <c r="H84" s="332"/>
      <c r="I84" s="332"/>
      <c r="J84" s="332"/>
      <c r="K84" s="330">
        <f>VLOOKUP(A84,'住培结算'!$A:$P,16,0)</f>
        <v>25.5</v>
      </c>
      <c r="L84" s="330">
        <f aca="true" t="shared" si="13" ref="L84:L89">ROUND(E84+G84+H84+I84+J84+K84,2)</f>
        <v>102.5</v>
      </c>
    </row>
    <row r="85" spans="1:12" ht="25.5" customHeight="1">
      <c r="A85" s="327" t="s">
        <v>170</v>
      </c>
      <c r="B85" s="337">
        <v>3</v>
      </c>
      <c r="C85" s="337">
        <v>12</v>
      </c>
      <c r="D85" s="337">
        <v>20</v>
      </c>
      <c r="E85" s="330">
        <f t="shared" si="12"/>
        <v>32.5</v>
      </c>
      <c r="F85" s="332"/>
      <c r="G85" s="332"/>
      <c r="H85" s="332"/>
      <c r="I85" s="332"/>
      <c r="J85" s="332"/>
      <c r="K85" s="330">
        <f>VLOOKUP(A85,'住培结算'!$A:$P,16,0)</f>
        <v>4.5</v>
      </c>
      <c r="L85" s="330">
        <f t="shared" si="13"/>
        <v>37</v>
      </c>
    </row>
    <row r="86" spans="1:12" ht="25.5" customHeight="1">
      <c r="A86" s="324" t="s">
        <v>53</v>
      </c>
      <c r="B86" s="333">
        <f>SUM(B87:B89)</f>
        <v>188</v>
      </c>
      <c r="C86" s="333">
        <f>SUM(C87:C89)</f>
        <v>201</v>
      </c>
      <c r="D86" s="333">
        <f>SUM(D87:D89)</f>
        <v>194</v>
      </c>
      <c r="E86" s="334">
        <f>SUM(E87:E89)</f>
        <v>680.5</v>
      </c>
      <c r="F86" s="328"/>
      <c r="G86" s="336"/>
      <c r="H86" s="326"/>
      <c r="I86" s="326"/>
      <c r="J86" s="326">
        <f>SUM(J87:J89)</f>
        <v>0</v>
      </c>
      <c r="K86" s="326">
        <f>K87+K88+K89</f>
        <v>204</v>
      </c>
      <c r="L86" s="326">
        <f>L87+L88+L89</f>
        <v>884.5</v>
      </c>
    </row>
    <row r="87" spans="1:12" ht="25.5" customHeight="1">
      <c r="A87" s="327" t="s">
        <v>171</v>
      </c>
      <c r="B87" s="329">
        <v>87</v>
      </c>
      <c r="C87" s="329">
        <v>87</v>
      </c>
      <c r="D87" s="329">
        <v>87</v>
      </c>
      <c r="E87" s="330">
        <f aca="true" t="shared" si="14" ref="E87:E92">(B87+C87)*1.5+D87*0.5</f>
        <v>304.5</v>
      </c>
      <c r="F87" s="332"/>
      <c r="G87" s="332"/>
      <c r="H87" s="332"/>
      <c r="I87" s="332"/>
      <c r="J87" s="332"/>
      <c r="K87" s="330">
        <f>VLOOKUP(A87,'住培结算'!$A:$P,16,0)</f>
        <v>114</v>
      </c>
      <c r="L87" s="330">
        <f t="shared" si="13"/>
        <v>418.5</v>
      </c>
    </row>
    <row r="88" spans="1:12" ht="25.5" customHeight="1">
      <c r="A88" s="327" t="s">
        <v>172</v>
      </c>
      <c r="B88" s="329">
        <v>52</v>
      </c>
      <c r="C88" s="329">
        <v>52</v>
      </c>
      <c r="D88" s="329">
        <v>52</v>
      </c>
      <c r="E88" s="330">
        <f t="shared" si="14"/>
        <v>182</v>
      </c>
      <c r="F88" s="332"/>
      <c r="G88" s="332"/>
      <c r="H88" s="332"/>
      <c r="I88" s="332"/>
      <c r="J88" s="332"/>
      <c r="K88" s="330">
        <f>VLOOKUP(A88,'住培结算'!$A:$P,16,0)</f>
        <v>85.5</v>
      </c>
      <c r="L88" s="330">
        <f t="shared" si="13"/>
        <v>267.5</v>
      </c>
    </row>
    <row r="89" spans="1:12" ht="25.5" customHeight="1">
      <c r="A89" s="327" t="s">
        <v>173</v>
      </c>
      <c r="B89" s="337">
        <v>49</v>
      </c>
      <c r="C89" s="337">
        <v>62</v>
      </c>
      <c r="D89" s="337">
        <v>55</v>
      </c>
      <c r="E89" s="330">
        <f t="shared" si="14"/>
        <v>194</v>
      </c>
      <c r="F89" s="332"/>
      <c r="G89" s="332"/>
      <c r="H89" s="332"/>
      <c r="I89" s="332"/>
      <c r="J89" s="332"/>
      <c r="K89" s="330">
        <f>VLOOKUP(A89,'住培结算'!$A:$P,16,0)</f>
        <v>4.5</v>
      </c>
      <c r="L89" s="330">
        <f t="shared" si="13"/>
        <v>198.5</v>
      </c>
    </row>
    <row r="90" spans="1:12" ht="25.5" customHeight="1">
      <c r="A90" s="324" t="s">
        <v>54</v>
      </c>
      <c r="B90" s="333">
        <f>B91+B92</f>
        <v>145</v>
      </c>
      <c r="C90" s="333">
        <f>C91+C92</f>
        <v>165</v>
      </c>
      <c r="D90" s="333">
        <f>D91+D92</f>
        <v>181</v>
      </c>
      <c r="E90" s="334">
        <f>E91+E92</f>
        <v>555.5</v>
      </c>
      <c r="F90" s="328"/>
      <c r="G90" s="336"/>
      <c r="H90" s="326"/>
      <c r="I90" s="326"/>
      <c r="J90" s="326">
        <f>SUM(J91:J92)</f>
        <v>0</v>
      </c>
      <c r="K90" s="326">
        <f>K91+K92</f>
        <v>81</v>
      </c>
      <c r="L90" s="326">
        <f>L91+L92</f>
        <v>636.5</v>
      </c>
    </row>
    <row r="91" spans="1:12" ht="25.5" customHeight="1">
      <c r="A91" s="327" t="s">
        <v>174</v>
      </c>
      <c r="B91" s="329">
        <v>101</v>
      </c>
      <c r="C91" s="329">
        <v>101</v>
      </c>
      <c r="D91" s="329">
        <v>101</v>
      </c>
      <c r="E91" s="330">
        <f t="shared" si="14"/>
        <v>353.5</v>
      </c>
      <c r="F91" s="332"/>
      <c r="G91" s="332"/>
      <c r="H91" s="332"/>
      <c r="I91" s="332"/>
      <c r="J91" s="332"/>
      <c r="K91" s="330">
        <f>VLOOKUP(A91,'住培结算'!$A:$P,16,0)</f>
        <v>153</v>
      </c>
      <c r="L91" s="330">
        <f>ROUND(E91+G91+H91+I91+J91+K91,2)</f>
        <v>506.5</v>
      </c>
    </row>
    <row r="92" spans="1:12" ht="25.5" customHeight="1">
      <c r="A92" s="327" t="s">
        <v>175</v>
      </c>
      <c r="B92" s="337">
        <v>44</v>
      </c>
      <c r="C92" s="337">
        <v>64</v>
      </c>
      <c r="D92" s="337">
        <v>80</v>
      </c>
      <c r="E92" s="330">
        <f t="shared" si="14"/>
        <v>202</v>
      </c>
      <c r="F92" s="332"/>
      <c r="G92" s="332"/>
      <c r="H92" s="332"/>
      <c r="I92" s="332"/>
      <c r="J92" s="332"/>
      <c r="K92" s="330">
        <f>VLOOKUP(A92,'住培结算'!$A:$P,16,0)</f>
        <v>-72</v>
      </c>
      <c r="L92" s="330">
        <f>ROUND(E92+G92+H92+I92+J92+K92,2)</f>
        <v>130</v>
      </c>
    </row>
    <row r="93" spans="1:12" ht="25.5" customHeight="1">
      <c r="A93" s="324" t="s">
        <v>55</v>
      </c>
      <c r="B93" s="333">
        <f>B94+B95</f>
        <v>59</v>
      </c>
      <c r="C93" s="333">
        <f>C94+C95</f>
        <v>64</v>
      </c>
      <c r="D93" s="333">
        <f>D94+D95</f>
        <v>67</v>
      </c>
      <c r="E93" s="334">
        <f>E94+E95</f>
        <v>218</v>
      </c>
      <c r="F93" s="328"/>
      <c r="G93" s="336"/>
      <c r="H93" s="326"/>
      <c r="I93" s="326"/>
      <c r="J93" s="326">
        <f>SUM(J94:J95)</f>
        <v>0</v>
      </c>
      <c r="K93" s="326">
        <f>K94+K95</f>
        <v>57</v>
      </c>
      <c r="L93" s="326">
        <f>L94+L95</f>
        <v>275</v>
      </c>
    </row>
    <row r="94" spans="1:12" ht="25.5" customHeight="1">
      <c r="A94" s="327" t="s">
        <v>176</v>
      </c>
      <c r="B94" s="329">
        <v>47</v>
      </c>
      <c r="C94" s="329">
        <v>47</v>
      </c>
      <c r="D94" s="329">
        <v>47</v>
      </c>
      <c r="E94" s="330">
        <f>(B94+C94)*1.5+D94*0.5</f>
        <v>164.5</v>
      </c>
      <c r="F94" s="332"/>
      <c r="G94" s="332"/>
      <c r="H94" s="332"/>
      <c r="I94" s="332"/>
      <c r="J94" s="332"/>
      <c r="K94" s="330">
        <f>VLOOKUP(A94,'住培结算'!$A:$P,16,0)</f>
        <v>72</v>
      </c>
      <c r="L94" s="330">
        <f>ROUND(E94+G94+H94+I94+J94+K94,2)</f>
        <v>236.5</v>
      </c>
    </row>
    <row r="95" spans="1:12" ht="25.5" customHeight="1">
      <c r="A95" s="327" t="s">
        <v>177</v>
      </c>
      <c r="B95" s="337">
        <v>12</v>
      </c>
      <c r="C95" s="337">
        <v>17</v>
      </c>
      <c r="D95" s="337">
        <v>20</v>
      </c>
      <c r="E95" s="330">
        <f>(B95+C95)*1.5+D95*0.5</f>
        <v>53.5</v>
      </c>
      <c r="F95" s="332"/>
      <c r="G95" s="332"/>
      <c r="H95" s="332"/>
      <c r="I95" s="332"/>
      <c r="J95" s="332"/>
      <c r="K95" s="330">
        <f>VLOOKUP(A95,'住培结算'!$A:$P,16,0)</f>
        <v>-15</v>
      </c>
      <c r="L95" s="330">
        <f>ROUND(E95+G95+H95+I95+J95+K95,2)</f>
        <v>38.5</v>
      </c>
    </row>
    <row r="96" spans="1:12" ht="25.5" customHeight="1">
      <c r="A96" s="324" t="s">
        <v>56</v>
      </c>
      <c r="B96" s="333">
        <f>B97+B98</f>
        <v>36</v>
      </c>
      <c r="C96" s="333">
        <f>C97+C98</f>
        <v>38</v>
      </c>
      <c r="D96" s="333">
        <f>D97+D98</f>
        <v>43</v>
      </c>
      <c r="E96" s="334">
        <f>E97+E98</f>
        <v>132.5</v>
      </c>
      <c r="F96" s="328"/>
      <c r="G96" s="336"/>
      <c r="H96" s="326"/>
      <c r="I96" s="326"/>
      <c r="J96" s="326">
        <f>J97</f>
        <v>0</v>
      </c>
      <c r="K96" s="326">
        <f>K97+K98</f>
        <v>69</v>
      </c>
      <c r="L96" s="326">
        <f>L97+L98</f>
        <v>201.5</v>
      </c>
    </row>
    <row r="97" spans="1:12" ht="25.5" customHeight="1">
      <c r="A97" s="327" t="s">
        <v>178</v>
      </c>
      <c r="B97" s="329">
        <v>33</v>
      </c>
      <c r="C97" s="329">
        <v>33</v>
      </c>
      <c r="D97" s="329">
        <v>33</v>
      </c>
      <c r="E97" s="330">
        <f aca="true" t="shared" si="15" ref="E97:E102">(B97+C97)*1.5+D97*0.5</f>
        <v>115.5</v>
      </c>
      <c r="F97" s="332"/>
      <c r="G97" s="332"/>
      <c r="H97" s="332"/>
      <c r="I97" s="332"/>
      <c r="J97" s="332"/>
      <c r="K97" s="330">
        <f>VLOOKUP(A97,'住培结算'!$A:$P,16,0)</f>
        <v>64.5</v>
      </c>
      <c r="L97" s="330">
        <f>ROUND(E97+G97+H97+I97+J97+K97,2)</f>
        <v>180</v>
      </c>
    </row>
    <row r="98" spans="1:12" ht="25.5" customHeight="1">
      <c r="A98" s="327" t="s">
        <v>179</v>
      </c>
      <c r="B98" s="337">
        <v>3</v>
      </c>
      <c r="C98" s="337">
        <v>5</v>
      </c>
      <c r="D98" s="337">
        <v>10</v>
      </c>
      <c r="E98" s="330">
        <f t="shared" si="15"/>
        <v>17</v>
      </c>
      <c r="F98" s="332"/>
      <c r="G98" s="332"/>
      <c r="H98" s="332"/>
      <c r="I98" s="332"/>
      <c r="J98" s="332"/>
      <c r="K98" s="330">
        <f>VLOOKUP(A98,'住培结算'!$A:$P,16,0)</f>
        <v>4.5</v>
      </c>
      <c r="L98" s="330">
        <f>ROUND(E98+G98+H98+I98+J98+K98,2)</f>
        <v>21.5</v>
      </c>
    </row>
    <row r="99" spans="1:12" ht="25.5" customHeight="1">
      <c r="A99" s="324" t="s">
        <v>57</v>
      </c>
      <c r="B99" s="333">
        <f>B100</f>
        <v>62</v>
      </c>
      <c r="C99" s="333">
        <f>C100</f>
        <v>62</v>
      </c>
      <c r="D99" s="333">
        <f>D100</f>
        <v>62</v>
      </c>
      <c r="E99" s="334">
        <f>E100</f>
        <v>217</v>
      </c>
      <c r="F99" s="328"/>
      <c r="G99" s="336"/>
      <c r="H99" s="326"/>
      <c r="I99" s="326"/>
      <c r="J99" s="326">
        <f>J100</f>
        <v>0</v>
      </c>
      <c r="K99" s="326">
        <f>K100</f>
        <v>66</v>
      </c>
      <c r="L99" s="326">
        <f>L100</f>
        <v>283</v>
      </c>
    </row>
    <row r="100" spans="1:12" ht="25.5" customHeight="1">
      <c r="A100" s="327" t="s">
        <v>180</v>
      </c>
      <c r="B100" s="329">
        <v>62</v>
      </c>
      <c r="C100" s="329">
        <v>62</v>
      </c>
      <c r="D100" s="329">
        <v>62</v>
      </c>
      <c r="E100" s="330">
        <f t="shared" si="15"/>
        <v>217</v>
      </c>
      <c r="F100" s="332"/>
      <c r="G100" s="332"/>
      <c r="H100" s="332"/>
      <c r="I100" s="332"/>
      <c r="J100" s="332"/>
      <c r="K100" s="330">
        <f>VLOOKUP(A100,'住培结算'!$A:$P,16,0)</f>
        <v>66</v>
      </c>
      <c r="L100" s="330">
        <f>ROUND(E100+G100+H100+I100+J100+K100,2)</f>
        <v>283</v>
      </c>
    </row>
    <row r="101" spans="1:12" ht="25.5" customHeight="1">
      <c r="A101" s="324" t="s">
        <v>58</v>
      </c>
      <c r="B101" s="333">
        <f>B102</f>
        <v>43</v>
      </c>
      <c r="C101" s="333">
        <f>C102</f>
        <v>43</v>
      </c>
      <c r="D101" s="333">
        <f>D102</f>
        <v>43</v>
      </c>
      <c r="E101" s="334">
        <f>E102</f>
        <v>150.5</v>
      </c>
      <c r="F101" s="328"/>
      <c r="G101" s="336"/>
      <c r="H101" s="326"/>
      <c r="I101" s="326"/>
      <c r="J101" s="326">
        <f>SUM(J102)</f>
        <v>0</v>
      </c>
      <c r="K101" s="326">
        <f>K102</f>
        <v>118.5</v>
      </c>
      <c r="L101" s="326">
        <f>L102</f>
        <v>269</v>
      </c>
    </row>
    <row r="102" spans="1:12" ht="25.5" customHeight="1">
      <c r="A102" s="327" t="s">
        <v>181</v>
      </c>
      <c r="B102" s="329">
        <v>43</v>
      </c>
      <c r="C102" s="329">
        <v>43</v>
      </c>
      <c r="D102" s="329">
        <v>43</v>
      </c>
      <c r="E102" s="330">
        <f t="shared" si="15"/>
        <v>150.5</v>
      </c>
      <c r="F102" s="332"/>
      <c r="G102" s="332"/>
      <c r="H102" s="332"/>
      <c r="I102" s="332"/>
      <c r="J102" s="332"/>
      <c r="K102" s="330">
        <f>VLOOKUP(A102,'住培结算'!$A:$P,16,0)</f>
        <v>118.5</v>
      </c>
      <c r="L102" s="330">
        <f aca="true" t="shared" si="16" ref="L102:L107">ROUND(E102+G102+H102+I102+J102+K102,2)</f>
        <v>269</v>
      </c>
    </row>
    <row r="103" spans="1:12" ht="25.5" customHeight="1">
      <c r="A103" s="324" t="s">
        <v>59</v>
      </c>
      <c r="B103" s="333">
        <f>B104</f>
        <v>41</v>
      </c>
      <c r="C103" s="333">
        <f>C104</f>
        <v>41</v>
      </c>
      <c r="D103" s="333">
        <f>D104</f>
        <v>41</v>
      </c>
      <c r="E103" s="334">
        <f>E104</f>
        <v>143.5</v>
      </c>
      <c r="F103" s="328"/>
      <c r="G103" s="336"/>
      <c r="H103" s="326"/>
      <c r="I103" s="326"/>
      <c r="J103" s="326">
        <f>J104</f>
        <v>0</v>
      </c>
      <c r="K103" s="326">
        <f>K104</f>
        <v>66</v>
      </c>
      <c r="L103" s="326">
        <f>L104</f>
        <v>209.5</v>
      </c>
    </row>
    <row r="104" spans="1:12" ht="25.5" customHeight="1">
      <c r="A104" s="327" t="s">
        <v>182</v>
      </c>
      <c r="B104" s="329">
        <v>41</v>
      </c>
      <c r="C104" s="329">
        <v>41</v>
      </c>
      <c r="D104" s="329">
        <v>41</v>
      </c>
      <c r="E104" s="330">
        <f aca="true" t="shared" si="17" ref="E104:E109">(B104+C104)*1.5+D104*0.5</f>
        <v>143.5</v>
      </c>
      <c r="F104" s="332"/>
      <c r="G104" s="332"/>
      <c r="H104" s="332"/>
      <c r="I104" s="332"/>
      <c r="J104" s="332"/>
      <c r="K104" s="330">
        <f>VLOOKUP(A104,'住培结算'!$A:$P,16,0)</f>
        <v>66</v>
      </c>
      <c r="L104" s="330">
        <f t="shared" si="16"/>
        <v>209.5</v>
      </c>
    </row>
    <row r="105" spans="1:12" ht="25.5" customHeight="1">
      <c r="A105" s="324" t="s">
        <v>60</v>
      </c>
      <c r="B105" s="333">
        <f>B106+B107</f>
        <v>66</v>
      </c>
      <c r="C105" s="333">
        <f>C106+C107</f>
        <v>68</v>
      </c>
      <c r="D105" s="333">
        <f>D106+D107</f>
        <v>69</v>
      </c>
      <c r="E105" s="334">
        <f>E106+E107</f>
        <v>235.5</v>
      </c>
      <c r="F105" s="328"/>
      <c r="G105" s="336"/>
      <c r="H105" s="326"/>
      <c r="I105" s="326"/>
      <c r="J105" s="326">
        <f>J106</f>
        <v>0</v>
      </c>
      <c r="K105" s="334">
        <f>K106+K107</f>
        <v>48</v>
      </c>
      <c r="L105" s="326">
        <f>L106+L107</f>
        <v>283.5</v>
      </c>
    </row>
    <row r="106" spans="1:12" ht="25.5" customHeight="1">
      <c r="A106" s="327" t="s">
        <v>183</v>
      </c>
      <c r="B106" s="329">
        <v>59</v>
      </c>
      <c r="C106" s="329">
        <v>59</v>
      </c>
      <c r="D106" s="329">
        <v>59</v>
      </c>
      <c r="E106" s="330">
        <f t="shared" si="17"/>
        <v>206.5</v>
      </c>
      <c r="F106" s="332"/>
      <c r="G106" s="332"/>
      <c r="H106" s="332"/>
      <c r="I106" s="332"/>
      <c r="J106" s="332"/>
      <c r="K106" s="330">
        <f>VLOOKUP(A106,'住培结算'!$A:$P,16,0)</f>
        <v>37.5</v>
      </c>
      <c r="L106" s="330">
        <f t="shared" si="16"/>
        <v>244</v>
      </c>
    </row>
    <row r="107" spans="1:12" ht="25.5" customHeight="1">
      <c r="A107" s="327" t="s">
        <v>184</v>
      </c>
      <c r="B107" s="337">
        <v>7</v>
      </c>
      <c r="C107" s="337">
        <v>9</v>
      </c>
      <c r="D107" s="337">
        <v>10</v>
      </c>
      <c r="E107" s="330">
        <f t="shared" si="17"/>
        <v>29</v>
      </c>
      <c r="F107" s="332"/>
      <c r="G107" s="332"/>
      <c r="H107" s="332"/>
      <c r="I107" s="332"/>
      <c r="J107" s="332"/>
      <c r="K107" s="330">
        <f>VLOOKUP(A107,'住培结算'!$A:$P,16,0)</f>
        <v>10.5</v>
      </c>
      <c r="L107" s="330">
        <f t="shared" si="16"/>
        <v>39.5</v>
      </c>
    </row>
    <row r="108" spans="1:12" ht="25.5" customHeight="1">
      <c r="A108" s="324" t="s">
        <v>62</v>
      </c>
      <c r="B108" s="333">
        <f>B109</f>
        <v>19</v>
      </c>
      <c r="C108" s="333">
        <f>C109</f>
        <v>19</v>
      </c>
      <c r="D108" s="333">
        <f>D109</f>
        <v>19</v>
      </c>
      <c r="E108" s="334">
        <f>E109</f>
        <v>66.5</v>
      </c>
      <c r="F108" s="328"/>
      <c r="G108" s="336"/>
      <c r="H108" s="326"/>
      <c r="I108" s="326"/>
      <c r="J108" s="326">
        <f>J109</f>
        <v>0</v>
      </c>
      <c r="K108" s="334">
        <f>K109</f>
        <v>-16.5</v>
      </c>
      <c r="L108" s="326">
        <f>L109</f>
        <v>50</v>
      </c>
    </row>
    <row r="109" spans="1:12" ht="25.5" customHeight="1">
      <c r="A109" s="327" t="s">
        <v>185</v>
      </c>
      <c r="B109" s="329">
        <v>19</v>
      </c>
      <c r="C109" s="329">
        <v>19</v>
      </c>
      <c r="D109" s="329">
        <v>19</v>
      </c>
      <c r="E109" s="330">
        <f t="shared" si="17"/>
        <v>66.5</v>
      </c>
      <c r="F109" s="332"/>
      <c r="G109" s="332"/>
      <c r="H109" s="332"/>
      <c r="I109" s="332"/>
      <c r="J109" s="332"/>
      <c r="K109" s="330">
        <f>VLOOKUP(A109,'住培结算'!$A:$P,16,0)</f>
        <v>-16.5</v>
      </c>
      <c r="L109" s="330">
        <f>ROUND(E109+G109+H109+I109+J109+K109,2)</f>
        <v>50</v>
      </c>
    </row>
    <row r="110" spans="1:12" ht="25.5" customHeight="1">
      <c r="A110" s="324" t="s">
        <v>49</v>
      </c>
      <c r="B110" s="333">
        <f>B111</f>
        <v>23</v>
      </c>
      <c r="C110" s="333">
        <f>C111</f>
        <v>25</v>
      </c>
      <c r="D110" s="333">
        <f>D111</f>
        <v>25</v>
      </c>
      <c r="E110" s="334">
        <f>E111</f>
        <v>84.5</v>
      </c>
      <c r="F110" s="328"/>
      <c r="G110" s="336"/>
      <c r="H110" s="326"/>
      <c r="I110" s="326"/>
      <c r="J110" s="326"/>
      <c r="K110" s="334">
        <f>K111</f>
        <v>34.5</v>
      </c>
      <c r="L110" s="326">
        <f>L111</f>
        <v>119</v>
      </c>
    </row>
    <row r="111" spans="1:12" ht="25.5" customHeight="1">
      <c r="A111" s="327" t="s">
        <v>186</v>
      </c>
      <c r="B111" s="329">
        <v>23</v>
      </c>
      <c r="C111" s="329">
        <v>25</v>
      </c>
      <c r="D111" s="329">
        <v>25</v>
      </c>
      <c r="E111" s="330">
        <f>(B111+C111)*1.5+D111*0.5</f>
        <v>84.5</v>
      </c>
      <c r="F111" s="332"/>
      <c r="G111" s="332"/>
      <c r="H111" s="332"/>
      <c r="I111" s="332"/>
      <c r="J111" s="332"/>
      <c r="K111" s="330">
        <f>VLOOKUP(A111,'住培结算'!$A:$P,16,0)</f>
        <v>34.5</v>
      </c>
      <c r="L111" s="330">
        <f>ROUND(E111+G111+H111+I111+J111+K111,2)</f>
        <v>119</v>
      </c>
    </row>
    <row r="112" spans="1:12" ht="25.5" customHeight="1">
      <c r="A112" s="324" t="s">
        <v>52</v>
      </c>
      <c r="B112" s="333">
        <f>B113</f>
        <v>0</v>
      </c>
      <c r="C112" s="333">
        <f>C113</f>
        <v>5</v>
      </c>
      <c r="D112" s="333">
        <f>D113</f>
        <v>5</v>
      </c>
      <c r="E112" s="334">
        <f>E113</f>
        <v>10</v>
      </c>
      <c r="F112" s="336"/>
      <c r="G112" s="336"/>
      <c r="H112" s="336"/>
      <c r="I112" s="336"/>
      <c r="J112" s="336"/>
      <c r="K112" s="334">
        <f>VLOOKUP(A112,'住培结算'!$A:$P,9,0)</f>
        <v>0</v>
      </c>
      <c r="L112" s="326">
        <f>L113</f>
        <v>10</v>
      </c>
    </row>
    <row r="113" spans="1:12" ht="25.5" customHeight="1">
      <c r="A113" s="327" t="s">
        <v>187</v>
      </c>
      <c r="B113" s="329">
        <v>0</v>
      </c>
      <c r="C113" s="329">
        <v>5</v>
      </c>
      <c r="D113" s="329">
        <v>5</v>
      </c>
      <c r="E113" s="330">
        <f>SUM(B113,C113)*1.5+D113*0.5</f>
        <v>10</v>
      </c>
      <c r="F113" s="332"/>
      <c r="G113" s="332"/>
      <c r="H113" s="332"/>
      <c r="I113" s="332"/>
      <c r="J113" s="332"/>
      <c r="K113" s="330">
        <f>VLOOKUP(A113,'住培结算'!$A:$P,16,0)</f>
        <v>0</v>
      </c>
      <c r="L113" s="330">
        <f>ROUND(E113+G113+H113+I113+J113+K113,2)</f>
        <v>10</v>
      </c>
    </row>
    <row r="114" spans="1:12" ht="25.5" customHeight="1">
      <c r="A114" s="324" t="s">
        <v>61</v>
      </c>
      <c r="B114" s="333">
        <f>B115</f>
        <v>7</v>
      </c>
      <c r="C114" s="333">
        <f>C115</f>
        <v>7</v>
      </c>
      <c r="D114" s="333">
        <f>D115</f>
        <v>7</v>
      </c>
      <c r="E114" s="334">
        <f>E115</f>
        <v>24.5</v>
      </c>
      <c r="F114" s="336"/>
      <c r="G114" s="336"/>
      <c r="H114" s="336"/>
      <c r="I114" s="336"/>
      <c r="J114" s="336"/>
      <c r="K114" s="334">
        <f>K115</f>
        <v>10.5</v>
      </c>
      <c r="L114" s="326">
        <f>L115</f>
        <v>35</v>
      </c>
    </row>
    <row r="115" spans="1:12" ht="25.5" customHeight="1">
      <c r="A115" s="327" t="s">
        <v>188</v>
      </c>
      <c r="B115" s="329">
        <v>7</v>
      </c>
      <c r="C115" s="329">
        <v>7</v>
      </c>
      <c r="D115" s="329">
        <v>7</v>
      </c>
      <c r="E115" s="330">
        <f>SUM(B115,C115)*1.5+D115*0.5</f>
        <v>24.5</v>
      </c>
      <c r="F115" s="332"/>
      <c r="G115" s="332"/>
      <c r="H115" s="332"/>
      <c r="I115" s="332"/>
      <c r="J115" s="332"/>
      <c r="K115" s="330">
        <f>VLOOKUP(A115,'住培结算'!$A:$P,16,0)</f>
        <v>10.5</v>
      </c>
      <c r="L115" s="330">
        <f>ROUND(E115+G115+H115+I115+J115+K115,2)</f>
        <v>35</v>
      </c>
    </row>
    <row r="116" spans="1:12" s="147" customFormat="1" ht="25.5" customHeight="1">
      <c r="A116" s="324" t="s">
        <v>63</v>
      </c>
      <c r="B116" s="333">
        <f>B117</f>
        <v>0</v>
      </c>
      <c r="C116" s="333">
        <f>C117</f>
        <v>5</v>
      </c>
      <c r="D116" s="333">
        <f>D117</f>
        <v>5</v>
      </c>
      <c r="E116" s="334">
        <f>E117</f>
        <v>10</v>
      </c>
      <c r="F116" s="336"/>
      <c r="G116" s="336"/>
      <c r="H116" s="336"/>
      <c r="I116" s="336"/>
      <c r="J116" s="336"/>
      <c r="K116" s="334">
        <f>VLOOKUP(A116,'住培结算'!$A:$P,9,0)</f>
        <v>0</v>
      </c>
      <c r="L116" s="326">
        <f>L117</f>
        <v>10</v>
      </c>
    </row>
    <row r="117" spans="1:12" ht="25.5" customHeight="1">
      <c r="A117" s="327" t="s">
        <v>189</v>
      </c>
      <c r="B117" s="329">
        <v>0</v>
      </c>
      <c r="C117" s="329">
        <v>5</v>
      </c>
      <c r="D117" s="329">
        <v>5</v>
      </c>
      <c r="E117" s="330">
        <f>SUM(B117,C117)*1.5+D117*0.5</f>
        <v>10</v>
      </c>
      <c r="F117" s="332"/>
      <c r="G117" s="332"/>
      <c r="H117" s="332"/>
      <c r="I117" s="332"/>
      <c r="J117" s="332"/>
      <c r="K117" s="330">
        <f>VLOOKUP(A117,'住培结算'!$A:$P,16,0)</f>
        <v>0</v>
      </c>
      <c r="L117" s="330">
        <f>ROUND(E117+G117+H117+I117+J117+K117,2)</f>
        <v>10</v>
      </c>
    </row>
    <row r="118" spans="1:12" ht="90.75" customHeight="1">
      <c r="A118" s="345" t="s">
        <v>190</v>
      </c>
      <c r="B118" s="346"/>
      <c r="C118" s="346"/>
      <c r="D118" s="346"/>
      <c r="E118" s="346"/>
      <c r="F118" s="346"/>
      <c r="G118" s="346"/>
      <c r="H118" s="346"/>
      <c r="I118" s="346"/>
      <c r="J118" s="346"/>
      <c r="K118" s="346"/>
      <c r="L118" s="346"/>
    </row>
  </sheetData>
  <sheetProtection/>
  <mergeCells count="9">
    <mergeCell ref="A2:L2"/>
    <mergeCell ref="B4:E4"/>
    <mergeCell ref="F4:G4"/>
    <mergeCell ref="H4:I4"/>
    <mergeCell ref="A118:L118"/>
    <mergeCell ref="A4:A5"/>
    <mergeCell ref="J4:J5"/>
    <mergeCell ref="K4:K5"/>
    <mergeCell ref="L4:L5"/>
  </mergeCells>
  <printOptions horizontalCentered="1"/>
  <pageMargins left="0.4722222222222222" right="0.4722222222222222" top="0.5902777777777778" bottom="0.7868055555555555" header="0.3145833333333333" footer="0.5118055555555555"/>
  <pageSetup fitToHeight="0" fitToWidth="1" horizontalDpi="600" verticalDpi="600" orientation="landscape" paperSize="9" scale="69"/>
</worksheet>
</file>

<file path=xl/worksheets/sheet3.xml><?xml version="1.0" encoding="utf-8"?>
<worksheet xmlns="http://schemas.openxmlformats.org/spreadsheetml/2006/main" xmlns:r="http://schemas.openxmlformats.org/officeDocument/2006/relationships">
  <sheetPr>
    <pageSetUpPr fitToPage="1"/>
  </sheetPr>
  <dimension ref="A1:P118"/>
  <sheetViews>
    <sheetView zoomScale="70" zoomScaleNormal="70" zoomScaleSheetLayoutView="100" workbookViewId="0" topLeftCell="A1">
      <selection activeCell="D45" sqref="D45"/>
    </sheetView>
  </sheetViews>
  <sheetFormatPr defaultColWidth="9.00390625" defaultRowHeight="15"/>
  <cols>
    <col min="1" max="1" width="39.421875" style="275" customWidth="1"/>
    <col min="2" max="2" width="13.140625" style="275" customWidth="1"/>
    <col min="3" max="3" width="13.8515625" style="275" customWidth="1"/>
    <col min="4" max="4" width="15.8515625" style="275" customWidth="1"/>
    <col min="5" max="7" width="15.7109375" style="275" customWidth="1"/>
    <col min="8" max="8" width="19.7109375" style="275" customWidth="1"/>
    <col min="9" max="11" width="16.421875" style="275" customWidth="1"/>
    <col min="12" max="12" width="27.57421875" style="275" customWidth="1"/>
    <col min="13" max="13" width="16.421875" style="275" customWidth="1"/>
    <col min="14" max="14" width="16.421875" style="276" customWidth="1"/>
    <col min="15" max="15" width="20.421875" style="276" customWidth="1"/>
    <col min="16" max="16" width="22.00390625" style="151" customWidth="1"/>
    <col min="17" max="16384" width="9.00390625" style="151" customWidth="1"/>
  </cols>
  <sheetData>
    <row r="1" spans="1:15" s="192" customFormat="1" ht="28.5" customHeight="1">
      <c r="A1" s="277" t="s">
        <v>191</v>
      </c>
      <c r="B1" s="278"/>
      <c r="C1" s="278"/>
      <c r="D1" s="278"/>
      <c r="E1" s="278"/>
      <c r="F1" s="278"/>
      <c r="G1" s="278"/>
      <c r="H1" s="278"/>
      <c r="I1" s="278"/>
      <c r="J1" s="278"/>
      <c r="K1" s="278"/>
      <c r="L1" s="278"/>
      <c r="M1" s="278"/>
      <c r="N1" s="297"/>
      <c r="O1" s="297"/>
    </row>
    <row r="2" spans="1:16" s="192" customFormat="1" ht="45.75" customHeight="1">
      <c r="A2" s="279" t="s">
        <v>192</v>
      </c>
      <c r="B2" s="279"/>
      <c r="C2" s="279"/>
      <c r="D2" s="279"/>
      <c r="E2" s="279"/>
      <c r="F2" s="279"/>
      <c r="G2" s="279"/>
      <c r="H2" s="279"/>
      <c r="I2" s="279"/>
      <c r="J2" s="279"/>
      <c r="K2" s="279"/>
      <c r="L2" s="279"/>
      <c r="M2" s="279"/>
      <c r="N2" s="279"/>
      <c r="O2" s="279"/>
      <c r="P2" s="279"/>
    </row>
    <row r="3" spans="1:16" s="192" customFormat="1" ht="25.5">
      <c r="A3" s="279"/>
      <c r="B3" s="279"/>
      <c r="C3" s="279"/>
      <c r="D3" s="279"/>
      <c r="E3" s="279"/>
      <c r="F3" s="279"/>
      <c r="G3" s="279"/>
      <c r="H3" s="279"/>
      <c r="I3" s="279"/>
      <c r="J3" s="279"/>
      <c r="K3" s="279"/>
      <c r="L3" s="279"/>
      <c r="M3" s="279"/>
      <c r="N3" s="279"/>
      <c r="O3" s="279"/>
      <c r="P3" s="298" t="s">
        <v>2</v>
      </c>
    </row>
    <row r="4" spans="1:16" s="272" customFormat="1" ht="33.75" customHeight="1">
      <c r="A4" s="280" t="s">
        <v>3</v>
      </c>
      <c r="B4" s="281" t="s">
        <v>193</v>
      </c>
      <c r="C4" s="282"/>
      <c r="D4" s="282"/>
      <c r="E4" s="282"/>
      <c r="F4" s="282"/>
      <c r="G4" s="282"/>
      <c r="H4" s="283"/>
      <c r="I4" s="280" t="s">
        <v>194</v>
      </c>
      <c r="J4" s="280"/>
      <c r="K4" s="280"/>
      <c r="L4" s="280"/>
      <c r="M4" s="280"/>
      <c r="N4" s="280"/>
      <c r="O4" s="299" t="s">
        <v>195</v>
      </c>
      <c r="P4" s="299" t="s">
        <v>107</v>
      </c>
    </row>
    <row r="5" spans="1:16" s="272" customFormat="1" ht="108.75" customHeight="1">
      <c r="A5" s="280"/>
      <c r="B5" s="284" t="s">
        <v>196</v>
      </c>
      <c r="C5" s="259" t="s">
        <v>197</v>
      </c>
      <c r="D5" s="259" t="s">
        <v>198</v>
      </c>
      <c r="E5" s="259" t="s">
        <v>199</v>
      </c>
      <c r="F5" s="285" t="s">
        <v>200</v>
      </c>
      <c r="G5" s="259" t="s">
        <v>201</v>
      </c>
      <c r="H5" s="259" t="s">
        <v>202</v>
      </c>
      <c r="I5" s="259" t="s">
        <v>203</v>
      </c>
      <c r="J5" s="285" t="s">
        <v>204</v>
      </c>
      <c r="K5" s="259" t="s">
        <v>205</v>
      </c>
      <c r="L5" s="259" t="s">
        <v>206</v>
      </c>
      <c r="M5" s="259" t="s">
        <v>207</v>
      </c>
      <c r="N5" s="285" t="s">
        <v>208</v>
      </c>
      <c r="O5" s="300"/>
      <c r="P5" s="300"/>
    </row>
    <row r="6" spans="1:16" s="272" customFormat="1" ht="80.25" customHeight="1">
      <c r="A6" s="280"/>
      <c r="B6" s="286" t="s">
        <v>209</v>
      </c>
      <c r="C6" s="287" t="s">
        <v>210</v>
      </c>
      <c r="D6" s="287" t="s">
        <v>211</v>
      </c>
      <c r="E6" s="287" t="s">
        <v>212</v>
      </c>
      <c r="F6" s="287" t="s">
        <v>213</v>
      </c>
      <c r="G6" s="287" t="s">
        <v>214</v>
      </c>
      <c r="H6" s="287" t="s">
        <v>215</v>
      </c>
      <c r="I6" s="287" t="s">
        <v>216</v>
      </c>
      <c r="J6" s="287" t="s">
        <v>217</v>
      </c>
      <c r="K6" s="287" t="s">
        <v>218</v>
      </c>
      <c r="L6" s="198" t="s">
        <v>219</v>
      </c>
      <c r="M6" s="198" t="s">
        <v>220</v>
      </c>
      <c r="N6" s="198" t="s">
        <v>221</v>
      </c>
      <c r="O6" s="198" t="s">
        <v>222</v>
      </c>
      <c r="P6" s="198" t="s">
        <v>223</v>
      </c>
    </row>
    <row r="7" spans="1:16" s="192" customFormat="1" ht="27" customHeight="1" hidden="1">
      <c r="A7" s="288" t="s">
        <v>4</v>
      </c>
      <c r="B7" s="289">
        <f aca="true" t="shared" si="0" ref="B7:H7">B8+B38</f>
        <v>3462</v>
      </c>
      <c r="C7" s="289">
        <f t="shared" si="0"/>
        <v>4100</v>
      </c>
      <c r="D7" s="289">
        <f t="shared" si="0"/>
        <v>2118</v>
      </c>
      <c r="E7" s="289">
        <f t="shared" si="0"/>
        <v>3291</v>
      </c>
      <c r="F7" s="289">
        <f t="shared" si="0"/>
        <v>4100</v>
      </c>
      <c r="G7" s="289">
        <f t="shared" si="0"/>
        <v>3819</v>
      </c>
      <c r="H7" s="290">
        <f t="shared" si="0"/>
        <v>2295</v>
      </c>
      <c r="I7" s="301">
        <f>SUM(I8,I38)</f>
        <v>3966</v>
      </c>
      <c r="J7" s="301">
        <f>SUM(J8,J38)</f>
        <v>3714</v>
      </c>
      <c r="K7" s="301">
        <f>SUM(K8,K38)</f>
        <v>3569</v>
      </c>
      <c r="L7" s="200">
        <f>ROUND(L8+L38,2)</f>
        <v>17429</v>
      </c>
      <c r="M7" s="200">
        <f>ROUND(M8+M38,2)</f>
        <v>17775</v>
      </c>
      <c r="N7" s="200">
        <f>ROUND(N8+N38,2)</f>
        <v>-346</v>
      </c>
      <c r="O7" s="200">
        <v>0</v>
      </c>
      <c r="P7" s="200">
        <f>ROUND(P8+P38,2)</f>
        <v>1949</v>
      </c>
    </row>
    <row r="8" spans="1:16" s="192" customFormat="1" ht="27" customHeight="1" hidden="1">
      <c r="A8" s="288" t="s">
        <v>10</v>
      </c>
      <c r="B8" s="289">
        <f aca="true" t="shared" si="1" ref="B8:H8">B9+B32</f>
        <v>1260</v>
      </c>
      <c r="C8" s="289">
        <f t="shared" si="1"/>
        <v>1473</v>
      </c>
      <c r="D8" s="289">
        <f t="shared" si="1"/>
        <v>845</v>
      </c>
      <c r="E8" s="289">
        <f t="shared" si="1"/>
        <v>1215</v>
      </c>
      <c r="F8" s="289">
        <f t="shared" si="1"/>
        <v>1473</v>
      </c>
      <c r="G8" s="289">
        <f t="shared" si="1"/>
        <v>1390</v>
      </c>
      <c r="H8" s="290">
        <f t="shared" si="1"/>
        <v>750</v>
      </c>
      <c r="I8" s="289">
        <f>SUM(I9,I32)</f>
        <v>1447</v>
      </c>
      <c r="J8" s="289">
        <f>SUM(J9,J32)</f>
        <v>1327</v>
      </c>
      <c r="K8" s="289">
        <f>SUM(K9,K32)</f>
        <v>1018</v>
      </c>
      <c r="L8" s="200">
        <f>L9+L32</f>
        <v>6128</v>
      </c>
      <c r="M8" s="200">
        <f>M9+M32</f>
        <v>6778.5</v>
      </c>
      <c r="N8" s="200">
        <f>N9+N32</f>
        <v>-650.5</v>
      </c>
      <c r="O8" s="290">
        <f>O9+O32</f>
        <v>0</v>
      </c>
      <c r="P8" s="200">
        <f>ROUND(P9+P32,2)</f>
        <v>99.5</v>
      </c>
    </row>
    <row r="9" spans="1:16" s="192" customFormat="1" ht="27" customHeight="1" hidden="1">
      <c r="A9" s="288" t="s">
        <v>129</v>
      </c>
      <c r="B9" s="289">
        <f aca="true" t="shared" si="2" ref="B9:H9">SUM(B10:B31)</f>
        <v>943</v>
      </c>
      <c r="C9" s="289">
        <f t="shared" si="2"/>
        <v>1134</v>
      </c>
      <c r="D9" s="289">
        <f t="shared" si="2"/>
        <v>590</v>
      </c>
      <c r="E9" s="289">
        <f t="shared" si="2"/>
        <v>898</v>
      </c>
      <c r="F9" s="289">
        <f t="shared" si="2"/>
        <v>1134</v>
      </c>
      <c r="G9" s="289">
        <f t="shared" si="2"/>
        <v>1070</v>
      </c>
      <c r="H9" s="290">
        <f t="shared" si="2"/>
        <v>652.5</v>
      </c>
      <c r="I9" s="289">
        <f aca="true" t="shared" si="3" ref="I9:P9">SUM(I10:I31)</f>
        <v>1108</v>
      </c>
      <c r="J9" s="289">
        <f t="shared" si="3"/>
        <v>1007</v>
      </c>
      <c r="K9" s="289">
        <f t="shared" si="3"/>
        <v>750</v>
      </c>
      <c r="L9" s="200">
        <f t="shared" si="3"/>
        <v>4737.5</v>
      </c>
      <c r="M9" s="200">
        <f t="shared" si="3"/>
        <v>5386.5</v>
      </c>
      <c r="N9" s="200">
        <f t="shared" si="3"/>
        <v>-649</v>
      </c>
      <c r="O9" s="290">
        <f t="shared" si="3"/>
        <v>0</v>
      </c>
      <c r="P9" s="200">
        <f t="shared" si="3"/>
        <v>3.499999999999986</v>
      </c>
    </row>
    <row r="10" spans="1:16" s="192" customFormat="1" ht="27" customHeight="1" hidden="1">
      <c r="A10" s="291" t="s">
        <v>130</v>
      </c>
      <c r="B10" s="292"/>
      <c r="C10" s="292"/>
      <c r="D10" s="292"/>
      <c r="E10" s="292"/>
      <c r="F10" s="292"/>
      <c r="G10" s="292"/>
      <c r="H10" s="293"/>
      <c r="I10" s="263"/>
      <c r="J10" s="263"/>
      <c r="K10" s="263"/>
      <c r="L10" s="200">
        <v>350</v>
      </c>
      <c r="M10" s="200">
        <v>350</v>
      </c>
      <c r="N10" s="200">
        <f aca="true" t="shared" si="4" ref="N10:N16">L10-M10</f>
        <v>0</v>
      </c>
      <c r="O10" s="200"/>
      <c r="P10" s="200">
        <f>ROUND(H10+N10+O10,2)</f>
        <v>0</v>
      </c>
    </row>
    <row r="11" spans="1:16" s="192" customFormat="1" ht="27" customHeight="1" hidden="1">
      <c r="A11" s="291" t="s">
        <v>12</v>
      </c>
      <c r="B11" s="292">
        <v>58</v>
      </c>
      <c r="C11" s="292">
        <v>58</v>
      </c>
      <c r="D11" s="292">
        <v>40</v>
      </c>
      <c r="E11" s="294">
        <v>49</v>
      </c>
      <c r="F11" s="264">
        <v>58</v>
      </c>
      <c r="G11" s="237">
        <v>45</v>
      </c>
      <c r="H11" s="205">
        <f>((E11+F11+G11)-(B11+C11+D11))*1.5</f>
        <v>-6</v>
      </c>
      <c r="I11" s="211">
        <v>53</v>
      </c>
      <c r="J11" s="237">
        <v>45</v>
      </c>
      <c r="K11" s="237">
        <v>32</v>
      </c>
      <c r="L11" s="293">
        <f aca="true" t="shared" si="5" ref="L11:L31">(I11+J11+K11)*1.5</f>
        <v>195</v>
      </c>
      <c r="M11" s="205">
        <f>VLOOKUP(A11,'2021年住培'!$A:$K,11,0)</f>
        <v>279.8</v>
      </c>
      <c r="N11" s="201">
        <f t="shared" si="4"/>
        <v>-84.80000000000001</v>
      </c>
      <c r="O11" s="293"/>
      <c r="P11" s="201">
        <f aca="true" t="shared" si="6" ref="P11:P19">ROUND(H11+N11+O11,2)</f>
        <v>-90.8</v>
      </c>
    </row>
    <row r="12" spans="1:16" s="192" customFormat="1" ht="27" customHeight="1" hidden="1">
      <c r="A12" s="291" t="s">
        <v>14</v>
      </c>
      <c r="B12" s="292">
        <v>58</v>
      </c>
      <c r="C12" s="292">
        <v>65</v>
      </c>
      <c r="D12" s="292">
        <v>30</v>
      </c>
      <c r="E12" s="294">
        <v>55</v>
      </c>
      <c r="F12" s="264">
        <v>65</v>
      </c>
      <c r="G12" s="237">
        <v>49</v>
      </c>
      <c r="H12" s="205">
        <f>((E12+F12+G12)-(B12+C12+D12))*1.5</f>
        <v>24</v>
      </c>
      <c r="I12" s="211">
        <v>63</v>
      </c>
      <c r="J12" s="237">
        <v>48</v>
      </c>
      <c r="K12" s="237">
        <v>58</v>
      </c>
      <c r="L12" s="293">
        <f t="shared" si="5"/>
        <v>253.5</v>
      </c>
      <c r="M12" s="205">
        <f>VLOOKUP(A12,'2021年住培'!$A:$K,11,0)</f>
        <v>277.5</v>
      </c>
      <c r="N12" s="201">
        <f t="shared" si="4"/>
        <v>-24</v>
      </c>
      <c r="O12" s="293"/>
      <c r="P12" s="201">
        <f t="shared" si="6"/>
        <v>0</v>
      </c>
    </row>
    <row r="13" spans="1:16" s="192" customFormat="1" ht="27" customHeight="1" hidden="1">
      <c r="A13" s="291" t="s">
        <v>15</v>
      </c>
      <c r="B13" s="292">
        <v>15</v>
      </c>
      <c r="C13" s="292">
        <v>19</v>
      </c>
      <c r="D13" s="292">
        <v>20</v>
      </c>
      <c r="E13" s="294">
        <v>15</v>
      </c>
      <c r="F13" s="264">
        <v>19</v>
      </c>
      <c r="G13" s="237">
        <v>23</v>
      </c>
      <c r="H13" s="205">
        <f aca="true" t="shared" si="7" ref="H13:H31">((E13+F13+G13)-(B13+C13+D13))*1.5</f>
        <v>4.5</v>
      </c>
      <c r="I13" s="211">
        <v>19</v>
      </c>
      <c r="J13" s="237">
        <v>21</v>
      </c>
      <c r="K13" s="237">
        <v>16</v>
      </c>
      <c r="L13" s="293">
        <f t="shared" si="5"/>
        <v>84</v>
      </c>
      <c r="M13" s="205">
        <f>VLOOKUP(A13,'2021年住培'!$A:$K,11,0)</f>
        <v>79.5</v>
      </c>
      <c r="N13" s="201">
        <f t="shared" si="4"/>
        <v>4.5</v>
      </c>
      <c r="O13" s="293">
        <v>-72</v>
      </c>
      <c r="P13" s="201">
        <f t="shared" si="6"/>
        <v>-63</v>
      </c>
    </row>
    <row r="14" spans="1:16" s="192" customFormat="1" ht="27" customHeight="1" hidden="1">
      <c r="A14" s="291" t="s">
        <v>16</v>
      </c>
      <c r="B14" s="292">
        <v>39</v>
      </c>
      <c r="C14" s="292">
        <v>50</v>
      </c>
      <c r="D14" s="292">
        <v>20</v>
      </c>
      <c r="E14" s="294">
        <v>40</v>
      </c>
      <c r="F14" s="264">
        <v>50</v>
      </c>
      <c r="G14" s="237">
        <v>83</v>
      </c>
      <c r="H14" s="205">
        <f t="shared" si="7"/>
        <v>96</v>
      </c>
      <c r="I14" s="211">
        <v>50</v>
      </c>
      <c r="J14" s="237">
        <v>80</v>
      </c>
      <c r="K14" s="237">
        <v>41</v>
      </c>
      <c r="L14" s="293">
        <f t="shared" si="5"/>
        <v>256.5</v>
      </c>
      <c r="M14" s="205">
        <f>VLOOKUP(A14,'2021年住培'!$A:$K,11,0)</f>
        <v>240.8</v>
      </c>
      <c r="N14" s="201">
        <f t="shared" si="4"/>
        <v>15.699999999999989</v>
      </c>
      <c r="O14" s="293"/>
      <c r="P14" s="201">
        <f t="shared" si="6"/>
        <v>111.7</v>
      </c>
    </row>
    <row r="15" spans="1:16" s="192" customFormat="1" ht="27" customHeight="1" hidden="1">
      <c r="A15" s="291" t="s">
        <v>17</v>
      </c>
      <c r="B15" s="292">
        <v>38</v>
      </c>
      <c r="C15" s="292">
        <v>47</v>
      </c>
      <c r="D15" s="292">
        <v>30</v>
      </c>
      <c r="E15" s="294">
        <v>27</v>
      </c>
      <c r="F15" s="264">
        <v>47</v>
      </c>
      <c r="G15" s="237">
        <v>64</v>
      </c>
      <c r="H15" s="205">
        <f t="shared" si="7"/>
        <v>34.5</v>
      </c>
      <c r="I15" s="211">
        <v>47</v>
      </c>
      <c r="J15" s="237">
        <v>61</v>
      </c>
      <c r="K15" s="237">
        <v>31</v>
      </c>
      <c r="L15" s="293">
        <f t="shared" si="5"/>
        <v>208.5</v>
      </c>
      <c r="M15" s="205">
        <f>VLOOKUP(A15,'2021年住培'!$A:$K,11,0)</f>
        <v>231.8</v>
      </c>
      <c r="N15" s="201">
        <f t="shared" si="4"/>
        <v>-23.30000000000001</v>
      </c>
      <c r="O15" s="293"/>
      <c r="P15" s="201">
        <f t="shared" si="6"/>
        <v>11.2</v>
      </c>
    </row>
    <row r="16" spans="1:16" s="192" customFormat="1" ht="27" customHeight="1" hidden="1">
      <c r="A16" s="291" t="s">
        <v>13</v>
      </c>
      <c r="B16" s="292">
        <v>34</v>
      </c>
      <c r="C16" s="292">
        <v>76</v>
      </c>
      <c r="D16" s="292">
        <v>30</v>
      </c>
      <c r="E16" s="294">
        <v>32</v>
      </c>
      <c r="F16" s="264">
        <v>76</v>
      </c>
      <c r="G16" s="237">
        <v>65</v>
      </c>
      <c r="H16" s="205">
        <f t="shared" si="7"/>
        <v>49.5</v>
      </c>
      <c r="I16" s="211">
        <v>84</v>
      </c>
      <c r="J16" s="237">
        <v>66</v>
      </c>
      <c r="K16" s="237">
        <v>71</v>
      </c>
      <c r="L16" s="293">
        <f t="shared" si="5"/>
        <v>331.5</v>
      </c>
      <c r="M16" s="205">
        <f>VLOOKUP(A16,'2021年住培'!$A:$K,11,0)</f>
        <v>303</v>
      </c>
      <c r="N16" s="201">
        <f t="shared" si="4"/>
        <v>28.5</v>
      </c>
      <c r="O16" s="293"/>
      <c r="P16" s="201">
        <f t="shared" si="6"/>
        <v>78</v>
      </c>
    </row>
    <row r="17" spans="1:16" s="192" customFormat="1" ht="27" customHeight="1" hidden="1">
      <c r="A17" s="291" t="s">
        <v>37</v>
      </c>
      <c r="B17" s="292"/>
      <c r="C17" s="292"/>
      <c r="D17" s="292"/>
      <c r="E17" s="292"/>
      <c r="F17" s="292"/>
      <c r="G17" s="292"/>
      <c r="H17" s="205">
        <f t="shared" si="7"/>
        <v>0</v>
      </c>
      <c r="I17" s="211">
        <v>0</v>
      </c>
      <c r="J17" s="237">
        <v>0</v>
      </c>
      <c r="K17" s="237">
        <v>0</v>
      </c>
      <c r="L17" s="293">
        <v>90</v>
      </c>
      <c r="M17" s="205">
        <f>VLOOKUP(A17,'2021年住培'!$A:$K,11,0)</f>
        <v>90</v>
      </c>
      <c r="N17" s="201">
        <v>0</v>
      </c>
      <c r="O17" s="293"/>
      <c r="P17" s="201">
        <f t="shared" si="6"/>
        <v>0</v>
      </c>
    </row>
    <row r="18" spans="1:16" s="192" customFormat="1" ht="27" customHeight="1" hidden="1">
      <c r="A18" s="291" t="s">
        <v>18</v>
      </c>
      <c r="B18" s="292">
        <v>71</v>
      </c>
      <c r="C18" s="292">
        <v>83</v>
      </c>
      <c r="D18" s="292">
        <v>40</v>
      </c>
      <c r="E18" s="294">
        <v>53</v>
      </c>
      <c r="F18" s="264">
        <v>83</v>
      </c>
      <c r="G18" s="237">
        <v>105</v>
      </c>
      <c r="H18" s="205">
        <f t="shared" si="7"/>
        <v>70.5</v>
      </c>
      <c r="I18" s="211">
        <v>83</v>
      </c>
      <c r="J18" s="237">
        <v>102</v>
      </c>
      <c r="K18" s="237">
        <v>41</v>
      </c>
      <c r="L18" s="293">
        <f t="shared" si="5"/>
        <v>339</v>
      </c>
      <c r="M18" s="205">
        <f>VLOOKUP(A18,'2021年住培'!$A:$K,11,0)</f>
        <v>392.5</v>
      </c>
      <c r="N18" s="201">
        <f aca="true" t="shared" si="8" ref="N18:N31">L18-M18</f>
        <v>-53.5</v>
      </c>
      <c r="O18" s="293"/>
      <c r="P18" s="201">
        <f t="shared" si="6"/>
        <v>17</v>
      </c>
    </row>
    <row r="19" spans="1:16" s="192" customFormat="1" ht="27" customHeight="1" hidden="1">
      <c r="A19" s="291" t="s">
        <v>19</v>
      </c>
      <c r="B19" s="292">
        <v>192</v>
      </c>
      <c r="C19" s="292">
        <v>202</v>
      </c>
      <c r="D19" s="292">
        <v>40</v>
      </c>
      <c r="E19" s="294">
        <v>171</v>
      </c>
      <c r="F19" s="264">
        <v>202</v>
      </c>
      <c r="G19" s="237">
        <v>120</v>
      </c>
      <c r="H19" s="205">
        <f t="shared" si="7"/>
        <v>88.5</v>
      </c>
      <c r="I19" s="211">
        <v>195</v>
      </c>
      <c r="J19" s="237">
        <v>116</v>
      </c>
      <c r="K19" s="237">
        <v>60</v>
      </c>
      <c r="L19" s="293">
        <f t="shared" si="5"/>
        <v>556.5</v>
      </c>
      <c r="M19" s="205">
        <f>VLOOKUP(A19,'2021年住培'!$A:$K,11,0)</f>
        <v>741</v>
      </c>
      <c r="N19" s="201">
        <f t="shared" si="8"/>
        <v>-184.5</v>
      </c>
      <c r="O19" s="293">
        <v>72</v>
      </c>
      <c r="P19" s="201">
        <f t="shared" si="6"/>
        <v>-24</v>
      </c>
    </row>
    <row r="20" spans="1:16" s="192" customFormat="1" ht="27" customHeight="1" hidden="1">
      <c r="A20" s="291" t="s">
        <v>20</v>
      </c>
      <c r="B20" s="292">
        <v>23</v>
      </c>
      <c r="C20" s="292">
        <v>13</v>
      </c>
      <c r="D20" s="292">
        <v>20</v>
      </c>
      <c r="E20" s="294">
        <v>20</v>
      </c>
      <c r="F20" s="264">
        <v>13</v>
      </c>
      <c r="G20" s="237">
        <v>35</v>
      </c>
      <c r="H20" s="205">
        <f t="shared" si="7"/>
        <v>18</v>
      </c>
      <c r="I20" s="211">
        <v>13</v>
      </c>
      <c r="J20" s="237">
        <v>35</v>
      </c>
      <c r="K20" s="237">
        <v>45</v>
      </c>
      <c r="L20" s="293">
        <f t="shared" si="5"/>
        <v>139.5</v>
      </c>
      <c r="M20" s="205">
        <f>VLOOKUP(A20,'2021年住培'!$A:$K,11,0)</f>
        <v>54</v>
      </c>
      <c r="N20" s="201">
        <f t="shared" si="8"/>
        <v>85.5</v>
      </c>
      <c r="O20" s="293"/>
      <c r="P20" s="201">
        <f aca="true" t="shared" si="9" ref="P20:P31">ROUND(H20+N20+O20,2)</f>
        <v>103.5</v>
      </c>
    </row>
    <row r="21" spans="1:16" s="192" customFormat="1" ht="27" customHeight="1" hidden="1">
      <c r="A21" s="291" t="s">
        <v>21</v>
      </c>
      <c r="B21" s="291"/>
      <c r="C21" s="291"/>
      <c r="D21" s="291"/>
      <c r="E21" s="294"/>
      <c r="F21" s="294"/>
      <c r="G21" s="237"/>
      <c r="H21" s="205">
        <f t="shared" si="7"/>
        <v>0</v>
      </c>
      <c r="I21" s="211"/>
      <c r="J21" s="237"/>
      <c r="K21" s="237">
        <v>7</v>
      </c>
      <c r="L21" s="293">
        <f t="shared" si="5"/>
        <v>10.5</v>
      </c>
      <c r="M21" s="205">
        <v>0</v>
      </c>
      <c r="N21" s="201">
        <f t="shared" si="8"/>
        <v>10.5</v>
      </c>
      <c r="O21" s="293"/>
      <c r="P21" s="201">
        <f t="shared" si="9"/>
        <v>10.5</v>
      </c>
    </row>
    <row r="22" spans="1:16" s="192" customFormat="1" ht="27" customHeight="1" hidden="1">
      <c r="A22" s="291" t="s">
        <v>22</v>
      </c>
      <c r="B22" s="292">
        <v>50</v>
      </c>
      <c r="C22" s="292">
        <v>63</v>
      </c>
      <c r="D22" s="292">
        <v>40</v>
      </c>
      <c r="E22" s="294">
        <v>47</v>
      </c>
      <c r="F22" s="264">
        <v>63</v>
      </c>
      <c r="G22" s="237">
        <v>71</v>
      </c>
      <c r="H22" s="205">
        <f t="shared" si="7"/>
        <v>42</v>
      </c>
      <c r="I22" s="211">
        <v>59</v>
      </c>
      <c r="J22" s="237">
        <v>68</v>
      </c>
      <c r="K22" s="237">
        <v>57</v>
      </c>
      <c r="L22" s="293">
        <f t="shared" si="5"/>
        <v>276</v>
      </c>
      <c r="M22" s="205">
        <f>VLOOKUP(A22,'2021年住培'!$A:$K,11,0)</f>
        <v>294.8</v>
      </c>
      <c r="N22" s="201">
        <f t="shared" si="8"/>
        <v>-18.80000000000001</v>
      </c>
      <c r="O22" s="293"/>
      <c r="P22" s="201">
        <f t="shared" si="9"/>
        <v>23.2</v>
      </c>
    </row>
    <row r="23" spans="1:16" s="192" customFormat="1" ht="27" customHeight="1" hidden="1">
      <c r="A23" s="291" t="s">
        <v>23</v>
      </c>
      <c r="B23" s="292">
        <v>34</v>
      </c>
      <c r="C23" s="292">
        <v>29</v>
      </c>
      <c r="D23" s="292">
        <v>40</v>
      </c>
      <c r="E23" s="294">
        <v>103</v>
      </c>
      <c r="F23" s="264">
        <v>29</v>
      </c>
      <c r="G23" s="237">
        <v>42</v>
      </c>
      <c r="H23" s="205">
        <f t="shared" si="7"/>
        <v>106.5</v>
      </c>
      <c r="I23" s="211">
        <v>29</v>
      </c>
      <c r="J23" s="237">
        <v>22</v>
      </c>
      <c r="K23" s="237">
        <v>17</v>
      </c>
      <c r="L23" s="293">
        <f t="shared" si="5"/>
        <v>102</v>
      </c>
      <c r="M23" s="205">
        <f>VLOOKUP(A23,'2021年住培'!$A:$K,11,0)</f>
        <v>194</v>
      </c>
      <c r="N23" s="201">
        <f t="shared" si="8"/>
        <v>-92</v>
      </c>
      <c r="O23" s="293"/>
      <c r="P23" s="201">
        <f t="shared" si="9"/>
        <v>14.5</v>
      </c>
    </row>
    <row r="24" spans="1:16" s="192" customFormat="1" ht="27" customHeight="1" hidden="1">
      <c r="A24" s="291" t="s">
        <v>24</v>
      </c>
      <c r="B24" s="292">
        <v>27</v>
      </c>
      <c r="C24" s="292">
        <v>51</v>
      </c>
      <c r="D24" s="292">
        <v>40</v>
      </c>
      <c r="E24" s="294">
        <v>25</v>
      </c>
      <c r="F24" s="264">
        <v>51</v>
      </c>
      <c r="G24" s="237">
        <v>63</v>
      </c>
      <c r="H24" s="205">
        <f t="shared" si="7"/>
        <v>31.5</v>
      </c>
      <c r="I24" s="211">
        <v>48</v>
      </c>
      <c r="J24" s="237">
        <v>60</v>
      </c>
      <c r="K24" s="237">
        <v>25</v>
      </c>
      <c r="L24" s="293">
        <f t="shared" si="5"/>
        <v>199.5</v>
      </c>
      <c r="M24" s="205">
        <f>VLOOKUP(A24,'2021年住培'!$A:$K,11,0)</f>
        <v>213</v>
      </c>
      <c r="N24" s="201">
        <f t="shared" si="8"/>
        <v>-13.5</v>
      </c>
      <c r="O24" s="293">
        <v>-97.5</v>
      </c>
      <c r="P24" s="201">
        <f t="shared" si="9"/>
        <v>-79.5</v>
      </c>
    </row>
    <row r="25" spans="1:16" s="192" customFormat="1" ht="27" customHeight="1" hidden="1">
      <c r="A25" s="291" t="s">
        <v>25</v>
      </c>
      <c r="B25" s="292">
        <v>69</v>
      </c>
      <c r="C25" s="292">
        <v>61</v>
      </c>
      <c r="D25" s="292">
        <v>40</v>
      </c>
      <c r="E25" s="294">
        <v>53</v>
      </c>
      <c r="F25" s="264">
        <v>61</v>
      </c>
      <c r="G25" s="237">
        <v>58</v>
      </c>
      <c r="H25" s="205">
        <f t="shared" si="7"/>
        <v>3</v>
      </c>
      <c r="I25" s="211">
        <v>61</v>
      </c>
      <c r="J25" s="237">
        <v>58</v>
      </c>
      <c r="K25" s="237">
        <v>40</v>
      </c>
      <c r="L25" s="293">
        <f t="shared" si="5"/>
        <v>238.5</v>
      </c>
      <c r="M25" s="205">
        <f>VLOOKUP(A25,'2021年住培'!$A:$K,11,0)</f>
        <v>258</v>
      </c>
      <c r="N25" s="201">
        <f t="shared" si="8"/>
        <v>-19.5</v>
      </c>
      <c r="O25" s="293">
        <v>157.5</v>
      </c>
      <c r="P25" s="201">
        <f t="shared" si="9"/>
        <v>141</v>
      </c>
    </row>
    <row r="26" spans="1:16" s="192" customFormat="1" ht="27" customHeight="1" hidden="1">
      <c r="A26" s="291" t="s">
        <v>26</v>
      </c>
      <c r="B26" s="292">
        <v>14</v>
      </c>
      <c r="C26" s="292">
        <v>6</v>
      </c>
      <c r="D26" s="292">
        <v>20</v>
      </c>
      <c r="E26" s="294">
        <v>14</v>
      </c>
      <c r="F26" s="264">
        <v>6</v>
      </c>
      <c r="G26" s="237">
        <v>10</v>
      </c>
      <c r="H26" s="205">
        <f t="shared" si="7"/>
        <v>-15</v>
      </c>
      <c r="I26" s="211">
        <v>6</v>
      </c>
      <c r="J26" s="237">
        <v>8</v>
      </c>
      <c r="K26" s="237">
        <v>24</v>
      </c>
      <c r="L26" s="293">
        <f t="shared" si="5"/>
        <v>57</v>
      </c>
      <c r="M26" s="205">
        <f>VLOOKUP(A26,'2021年住培'!$A:$K,11,0)</f>
        <v>63</v>
      </c>
      <c r="N26" s="201">
        <f t="shared" si="8"/>
        <v>-6</v>
      </c>
      <c r="O26" s="293">
        <v>-60</v>
      </c>
      <c r="P26" s="201">
        <f t="shared" si="9"/>
        <v>-81</v>
      </c>
    </row>
    <row r="27" spans="1:16" s="192" customFormat="1" ht="27" customHeight="1" hidden="1">
      <c r="A27" s="291" t="s">
        <v>27</v>
      </c>
      <c r="B27" s="292">
        <v>21</v>
      </c>
      <c r="C27" s="292">
        <v>21</v>
      </c>
      <c r="D27" s="292">
        <v>20</v>
      </c>
      <c r="E27" s="294">
        <v>17</v>
      </c>
      <c r="F27" s="264">
        <v>21</v>
      </c>
      <c r="G27" s="237">
        <v>25</v>
      </c>
      <c r="H27" s="205">
        <f t="shared" si="7"/>
        <v>1.5</v>
      </c>
      <c r="I27" s="211">
        <v>14</v>
      </c>
      <c r="J27" s="237">
        <v>17</v>
      </c>
      <c r="K27" s="237">
        <v>14</v>
      </c>
      <c r="L27" s="293">
        <f t="shared" si="5"/>
        <v>67.5</v>
      </c>
      <c r="M27" s="205">
        <f>VLOOKUP(A27,'2021年住培'!$A:$K,11,0)</f>
        <v>108</v>
      </c>
      <c r="N27" s="201">
        <f t="shared" si="8"/>
        <v>-40.5</v>
      </c>
      <c r="O27" s="293"/>
      <c r="P27" s="201">
        <f t="shared" si="9"/>
        <v>-39</v>
      </c>
    </row>
    <row r="28" spans="1:16" s="192" customFormat="1" ht="27" customHeight="1" hidden="1">
      <c r="A28" s="291" t="s">
        <v>28</v>
      </c>
      <c r="B28" s="292">
        <v>27</v>
      </c>
      <c r="C28" s="292">
        <v>33</v>
      </c>
      <c r="D28" s="292">
        <v>20</v>
      </c>
      <c r="E28" s="294">
        <v>20</v>
      </c>
      <c r="F28" s="264">
        <v>33</v>
      </c>
      <c r="G28" s="237">
        <v>25</v>
      </c>
      <c r="H28" s="205">
        <f t="shared" si="7"/>
        <v>-3</v>
      </c>
      <c r="I28" s="211">
        <v>32</v>
      </c>
      <c r="J28" s="237">
        <v>25</v>
      </c>
      <c r="K28" s="237">
        <v>16</v>
      </c>
      <c r="L28" s="293">
        <f t="shared" si="5"/>
        <v>109.5</v>
      </c>
      <c r="M28" s="205">
        <f>VLOOKUP(A28,'2021年住培'!$A:$K,11,0)</f>
        <v>144</v>
      </c>
      <c r="N28" s="201">
        <f t="shared" si="8"/>
        <v>-34.5</v>
      </c>
      <c r="O28" s="293"/>
      <c r="P28" s="201">
        <f t="shared" si="9"/>
        <v>-37.5</v>
      </c>
    </row>
    <row r="29" spans="1:16" s="192" customFormat="1" ht="27" customHeight="1" hidden="1">
      <c r="A29" s="291" t="s">
        <v>29</v>
      </c>
      <c r="B29" s="292">
        <v>45</v>
      </c>
      <c r="C29" s="292">
        <v>90</v>
      </c>
      <c r="D29" s="292">
        <v>40</v>
      </c>
      <c r="E29" s="294">
        <v>44</v>
      </c>
      <c r="F29" s="264">
        <v>90</v>
      </c>
      <c r="G29" s="237">
        <v>63</v>
      </c>
      <c r="H29" s="205">
        <f t="shared" si="7"/>
        <v>33</v>
      </c>
      <c r="I29" s="211">
        <v>88</v>
      </c>
      <c r="J29" s="237">
        <v>61</v>
      </c>
      <c r="K29" s="237">
        <v>37</v>
      </c>
      <c r="L29" s="293">
        <f t="shared" si="5"/>
        <v>279</v>
      </c>
      <c r="M29" s="205">
        <f>VLOOKUP(A29,'2021年住培'!$A:$K,11,0)</f>
        <v>375</v>
      </c>
      <c r="N29" s="201">
        <f t="shared" si="8"/>
        <v>-96</v>
      </c>
      <c r="O29" s="293"/>
      <c r="P29" s="201">
        <f t="shared" si="9"/>
        <v>-63</v>
      </c>
    </row>
    <row r="30" spans="1:16" s="192" customFormat="1" ht="27" customHeight="1" hidden="1">
      <c r="A30" s="291" t="s">
        <v>30</v>
      </c>
      <c r="B30" s="292">
        <v>99</v>
      </c>
      <c r="C30" s="292">
        <v>75</v>
      </c>
      <c r="D30" s="292">
        <v>40</v>
      </c>
      <c r="E30" s="294">
        <v>89</v>
      </c>
      <c r="F30" s="264">
        <v>75</v>
      </c>
      <c r="G30" s="237">
        <v>76</v>
      </c>
      <c r="H30" s="205">
        <f t="shared" si="7"/>
        <v>39</v>
      </c>
      <c r="I30" s="211">
        <v>82</v>
      </c>
      <c r="J30" s="237">
        <v>71</v>
      </c>
      <c r="K30" s="237">
        <v>59</v>
      </c>
      <c r="L30" s="293">
        <f t="shared" si="5"/>
        <v>318</v>
      </c>
      <c r="M30" s="205">
        <f>VLOOKUP(A30,'2021年住培'!$A:$K,11,0)</f>
        <v>330.8</v>
      </c>
      <c r="N30" s="201">
        <f t="shared" si="8"/>
        <v>-12.800000000000011</v>
      </c>
      <c r="O30" s="293"/>
      <c r="P30" s="201">
        <f t="shared" si="9"/>
        <v>26.2</v>
      </c>
    </row>
    <row r="31" spans="1:16" s="192" customFormat="1" ht="27" customHeight="1" hidden="1">
      <c r="A31" s="291" t="s">
        <v>31</v>
      </c>
      <c r="B31" s="292">
        <v>29</v>
      </c>
      <c r="C31" s="292">
        <v>92</v>
      </c>
      <c r="D31" s="292">
        <v>20</v>
      </c>
      <c r="E31" s="294">
        <v>24</v>
      </c>
      <c r="F31" s="264">
        <v>92</v>
      </c>
      <c r="G31" s="237">
        <v>48</v>
      </c>
      <c r="H31" s="205">
        <f t="shared" si="7"/>
        <v>34.5</v>
      </c>
      <c r="I31" s="211">
        <v>82</v>
      </c>
      <c r="J31" s="237">
        <v>43</v>
      </c>
      <c r="K31" s="237">
        <v>59</v>
      </c>
      <c r="L31" s="293">
        <f t="shared" si="5"/>
        <v>276</v>
      </c>
      <c r="M31" s="205">
        <f>VLOOKUP(A31,'2021年住培'!$A:$K,11,0)</f>
        <v>366</v>
      </c>
      <c r="N31" s="201">
        <f t="shared" si="8"/>
        <v>-90</v>
      </c>
      <c r="O31" s="293"/>
      <c r="P31" s="201">
        <f t="shared" si="9"/>
        <v>-55.5</v>
      </c>
    </row>
    <row r="32" spans="1:16" s="192" customFormat="1" ht="27" customHeight="1" hidden="1">
      <c r="A32" s="288" t="s">
        <v>131</v>
      </c>
      <c r="B32" s="289">
        <f aca="true" t="shared" si="10" ref="B32:H32">SUM(B33:B37)</f>
        <v>317</v>
      </c>
      <c r="C32" s="289">
        <f t="shared" si="10"/>
        <v>339</v>
      </c>
      <c r="D32" s="289">
        <f t="shared" si="10"/>
        <v>255</v>
      </c>
      <c r="E32" s="289">
        <f t="shared" si="10"/>
        <v>317</v>
      </c>
      <c r="F32" s="289">
        <f t="shared" si="10"/>
        <v>339</v>
      </c>
      <c r="G32" s="289">
        <f t="shared" si="10"/>
        <v>320</v>
      </c>
      <c r="H32" s="290">
        <f t="shared" si="10"/>
        <v>97.5</v>
      </c>
      <c r="I32" s="302">
        <f aca="true" t="shared" si="11" ref="I32:P32">SUM(I33:I37)</f>
        <v>339</v>
      </c>
      <c r="J32" s="302">
        <f t="shared" si="11"/>
        <v>320</v>
      </c>
      <c r="K32" s="302">
        <f t="shared" si="11"/>
        <v>268</v>
      </c>
      <c r="L32" s="303">
        <f t="shared" si="11"/>
        <v>1390.5</v>
      </c>
      <c r="M32" s="303">
        <f t="shared" si="11"/>
        <v>1392</v>
      </c>
      <c r="N32" s="303">
        <f t="shared" si="11"/>
        <v>-1.5</v>
      </c>
      <c r="O32" s="290">
        <f t="shared" si="11"/>
        <v>0</v>
      </c>
      <c r="P32" s="303">
        <f t="shared" si="11"/>
        <v>96</v>
      </c>
    </row>
    <row r="33" spans="1:16" s="192" customFormat="1" ht="27" customHeight="1" hidden="1">
      <c r="A33" s="291" t="s">
        <v>32</v>
      </c>
      <c r="B33" s="291">
        <v>41</v>
      </c>
      <c r="C33" s="291">
        <v>39</v>
      </c>
      <c r="D33" s="291">
        <v>40</v>
      </c>
      <c r="E33" s="295">
        <v>41</v>
      </c>
      <c r="F33" s="296">
        <v>39</v>
      </c>
      <c r="G33" s="244">
        <v>40</v>
      </c>
      <c r="H33" s="205">
        <f>((E33+F33+G33)-(B33+C33+D33))*1.5</f>
        <v>0</v>
      </c>
      <c r="I33" s="211">
        <f>VLOOKUP(A33,'[1]住培'!$A:$B,2,0)</f>
        <v>39</v>
      </c>
      <c r="J33" s="237">
        <f>VLOOKUP(A33,'[1]住培'!$A:$C,3,0)</f>
        <v>40</v>
      </c>
      <c r="K33" s="237">
        <f>VLOOKUP(A33,'[1]住培'!$A:$D,4,0)</f>
        <v>21</v>
      </c>
      <c r="L33" s="293">
        <f>(I33+J33+K33)*1.5</f>
        <v>150</v>
      </c>
      <c r="M33" s="205">
        <f>VLOOKUP(A33,'2021年住培'!$A:$K,11,0)</f>
        <v>162</v>
      </c>
      <c r="N33" s="201">
        <f>L33-M33</f>
        <v>-12</v>
      </c>
      <c r="O33" s="293"/>
      <c r="P33" s="201">
        <f>ROUND(H33+N33+O33,2)</f>
        <v>-12</v>
      </c>
    </row>
    <row r="34" spans="1:16" s="192" customFormat="1" ht="27" customHeight="1" hidden="1">
      <c r="A34" s="291" t="s">
        <v>33</v>
      </c>
      <c r="B34" s="292">
        <v>86</v>
      </c>
      <c r="C34" s="292">
        <v>126</v>
      </c>
      <c r="D34" s="292">
        <v>85</v>
      </c>
      <c r="E34" s="295">
        <v>86</v>
      </c>
      <c r="F34" s="296">
        <v>126</v>
      </c>
      <c r="G34" s="244">
        <v>85</v>
      </c>
      <c r="H34" s="205">
        <f>((E34+F34+G34)-(B34+C34+D34))*1.5</f>
        <v>0</v>
      </c>
      <c r="I34" s="211">
        <f>VLOOKUP(A34,'[1]住培'!$A:$B,2,0)</f>
        <v>126</v>
      </c>
      <c r="J34" s="237">
        <f>VLOOKUP(A34,'[1]住培'!$A:$C,3,0)</f>
        <v>85</v>
      </c>
      <c r="K34" s="237">
        <f>VLOOKUP(A34,'[1]住培'!$A:$D,4,0)</f>
        <v>49</v>
      </c>
      <c r="L34" s="293">
        <f>(I34+J34+K34)*1.5</f>
        <v>390</v>
      </c>
      <c r="M34" s="205">
        <f>VLOOKUP(A34,'2021年住培'!$A:$K,11,0)</f>
        <v>513</v>
      </c>
      <c r="N34" s="201">
        <f>L34-M34</f>
        <v>-123</v>
      </c>
      <c r="O34" s="293"/>
      <c r="P34" s="201">
        <f>ROUND(H34+N34+O34,2)</f>
        <v>-123</v>
      </c>
    </row>
    <row r="35" spans="1:16" s="192" customFormat="1" ht="27" customHeight="1" hidden="1">
      <c r="A35" s="291" t="s">
        <v>34</v>
      </c>
      <c r="B35" s="292">
        <v>162</v>
      </c>
      <c r="C35" s="292">
        <v>142</v>
      </c>
      <c r="D35" s="292">
        <v>110</v>
      </c>
      <c r="E35" s="295">
        <v>162</v>
      </c>
      <c r="F35" s="296">
        <v>142</v>
      </c>
      <c r="G35" s="244">
        <v>162</v>
      </c>
      <c r="H35" s="205">
        <f>((E35+F35+G35)-(B35+C35+D35))*1.5</f>
        <v>78</v>
      </c>
      <c r="I35" s="211">
        <f>VLOOKUP(A35,'[1]住培'!$A:$B,2,0)</f>
        <v>142</v>
      </c>
      <c r="J35" s="237">
        <f>VLOOKUP(A35,'[1]住培'!$A:$C,3,0)</f>
        <v>162</v>
      </c>
      <c r="K35" s="237">
        <f>VLOOKUP(A35,'[1]住培'!$A:$D,4,0)</f>
        <v>141</v>
      </c>
      <c r="L35" s="293">
        <f>(I35+J35+K35)*1.5</f>
        <v>667.5</v>
      </c>
      <c r="M35" s="205">
        <f>VLOOKUP(A35,'2021年住培'!$A:$K,11,0)</f>
        <v>591</v>
      </c>
      <c r="N35" s="201">
        <f>L35-M35</f>
        <v>76.5</v>
      </c>
      <c r="O35" s="293"/>
      <c r="P35" s="201">
        <f>ROUND(H35+N35+O35,2)</f>
        <v>154.5</v>
      </c>
    </row>
    <row r="36" spans="1:16" s="192" customFormat="1" ht="27" customHeight="1" hidden="1">
      <c r="A36" s="291" t="s">
        <v>36</v>
      </c>
      <c r="B36" s="292"/>
      <c r="C36" s="292"/>
      <c r="D36" s="292"/>
      <c r="E36" s="292"/>
      <c r="F36" s="292"/>
      <c r="G36" s="292"/>
      <c r="H36" s="205">
        <f>((E36+F36+G36)-(B36+C36+D36))*1.5</f>
        <v>0</v>
      </c>
      <c r="I36" s="211"/>
      <c r="J36" s="237"/>
      <c r="K36" s="237">
        <f>VLOOKUP(A36,'[1]住培'!$A:$D,4,0)</f>
        <v>9</v>
      </c>
      <c r="L36" s="293">
        <f>(I36+J36+K36)*1.5</f>
        <v>13.5</v>
      </c>
      <c r="M36" s="205">
        <v>0</v>
      </c>
      <c r="N36" s="201">
        <f>L36-M36</f>
        <v>13.5</v>
      </c>
      <c r="O36" s="293"/>
      <c r="P36" s="201">
        <f>ROUND(H36+N36+O36,2)</f>
        <v>13.5</v>
      </c>
    </row>
    <row r="37" spans="1:16" s="192" customFormat="1" ht="27" customHeight="1" hidden="1">
      <c r="A37" s="291" t="s">
        <v>35</v>
      </c>
      <c r="B37" s="292">
        <v>28</v>
      </c>
      <c r="C37" s="292">
        <v>32</v>
      </c>
      <c r="D37" s="292">
        <v>20</v>
      </c>
      <c r="E37" s="292">
        <v>28</v>
      </c>
      <c r="F37" s="292">
        <v>32</v>
      </c>
      <c r="G37" s="292">
        <v>33</v>
      </c>
      <c r="H37" s="205">
        <f>((E37+F37+G37)-(B37+C37+D37))*1.5</f>
        <v>19.5</v>
      </c>
      <c r="I37" s="211">
        <f>VLOOKUP(A37,'[1]住培'!$A:$B,2,0)</f>
        <v>32</v>
      </c>
      <c r="J37" s="237">
        <f>VLOOKUP(A37,'[1]住培'!$A:$C,3,0)</f>
        <v>33</v>
      </c>
      <c r="K37" s="237">
        <f>VLOOKUP(A37,'[1]住培'!$A:$D,4,0)</f>
        <v>48</v>
      </c>
      <c r="L37" s="293">
        <f>(I37+J37+K37)*1.5</f>
        <v>169.5</v>
      </c>
      <c r="M37" s="205">
        <f>VLOOKUP(A37,'2021年住培'!$A:$K,11,0)</f>
        <v>126</v>
      </c>
      <c r="N37" s="201">
        <f>L37-M37</f>
        <v>43.5</v>
      </c>
      <c r="O37" s="293"/>
      <c r="P37" s="201">
        <f>ROUND(H37+N37+O37,2)</f>
        <v>63</v>
      </c>
    </row>
    <row r="38" spans="1:16" s="192" customFormat="1" ht="27" customHeight="1">
      <c r="A38" s="288" t="s">
        <v>224</v>
      </c>
      <c r="B38" s="289">
        <f aca="true" t="shared" si="12" ref="B38:H38">B39+B51+B65+B68+B71+B78+B81+B83+B86+B90+B93+B96+B99+B101+B103+B105+B108</f>
        <v>2202</v>
      </c>
      <c r="C38" s="289">
        <f t="shared" si="12"/>
        <v>2627</v>
      </c>
      <c r="D38" s="289">
        <f t="shared" si="12"/>
        <v>1273</v>
      </c>
      <c r="E38" s="289">
        <f t="shared" si="12"/>
        <v>2076</v>
      </c>
      <c r="F38" s="289">
        <f t="shared" si="12"/>
        <v>2627</v>
      </c>
      <c r="G38" s="289">
        <f t="shared" si="12"/>
        <v>2429</v>
      </c>
      <c r="H38" s="290">
        <f t="shared" si="12"/>
        <v>1545</v>
      </c>
      <c r="I38" s="302">
        <f aca="true" t="shared" si="13" ref="I38:N38">I39+I51+I65+I68+I71+I78+I81+I83+I86+I90+I93+I96+I99+I101+I103+I105+I108+I110+I112+I114+I116</f>
        <v>2519</v>
      </c>
      <c r="J38" s="302">
        <f t="shared" si="13"/>
        <v>2387</v>
      </c>
      <c r="K38" s="302">
        <f t="shared" si="13"/>
        <v>2551</v>
      </c>
      <c r="L38" s="303">
        <f t="shared" si="13"/>
        <v>11301</v>
      </c>
      <c r="M38" s="303">
        <f t="shared" si="13"/>
        <v>10996.5</v>
      </c>
      <c r="N38" s="303">
        <f t="shared" si="13"/>
        <v>304.5</v>
      </c>
      <c r="O38" s="290">
        <f>O39+O51+O65+O68+O71+O78+O81+O83+O86+O90+O93+O96+O99+O101+O103+O105+O108</f>
        <v>0</v>
      </c>
      <c r="P38" s="303">
        <f>P39+P51+P65+P68+P71+P78+P81+P83+P86+P90+P93+P96+P99+P101+P103+P105+P108+P110+P112+P114+P116</f>
        <v>1849.5</v>
      </c>
    </row>
    <row r="39" spans="1:16" s="192" customFormat="1" ht="27" customHeight="1">
      <c r="A39" s="288" t="s">
        <v>43</v>
      </c>
      <c r="B39" s="289">
        <f aca="true" t="shared" si="14" ref="B39:K39">SUM(B41:B50)</f>
        <v>693</v>
      </c>
      <c r="C39" s="289">
        <f t="shared" si="14"/>
        <v>799</v>
      </c>
      <c r="D39" s="289">
        <f t="shared" si="14"/>
        <v>280</v>
      </c>
      <c r="E39" s="289">
        <f t="shared" si="14"/>
        <v>680</v>
      </c>
      <c r="F39" s="289">
        <f t="shared" si="14"/>
        <v>799</v>
      </c>
      <c r="G39" s="289">
        <f t="shared" si="14"/>
        <v>549</v>
      </c>
      <c r="H39" s="290">
        <f t="shared" si="14"/>
        <v>384</v>
      </c>
      <c r="I39" s="302">
        <f t="shared" si="14"/>
        <v>735</v>
      </c>
      <c r="J39" s="302">
        <f t="shared" si="14"/>
        <v>518</v>
      </c>
      <c r="K39" s="302">
        <f t="shared" si="14"/>
        <v>550</v>
      </c>
      <c r="L39" s="303">
        <f>SUM(L40:L50)</f>
        <v>2743</v>
      </c>
      <c r="M39" s="303">
        <f>SUM(M40:M50)</f>
        <v>3320.5</v>
      </c>
      <c r="N39" s="303">
        <f>SUM(N40:N50)</f>
        <v>-577.5</v>
      </c>
      <c r="O39" s="303"/>
      <c r="P39" s="303">
        <f>SUM(P40:P50)</f>
        <v>-193.5</v>
      </c>
    </row>
    <row r="40" spans="1:16" s="192" customFormat="1" ht="27" customHeight="1">
      <c r="A40" s="288" t="s">
        <v>132</v>
      </c>
      <c r="B40" s="289"/>
      <c r="C40" s="289"/>
      <c r="D40" s="289"/>
      <c r="E40" s="289"/>
      <c r="F40" s="289"/>
      <c r="G40" s="289"/>
      <c r="H40" s="290"/>
      <c r="I40" s="302"/>
      <c r="J40" s="302"/>
      <c r="K40" s="302"/>
      <c r="L40" s="303">
        <v>38.5</v>
      </c>
      <c r="M40" s="200">
        <v>38.5</v>
      </c>
      <c r="N40" s="201">
        <f>L40-M40</f>
        <v>0</v>
      </c>
      <c r="O40" s="303"/>
      <c r="P40" s="201">
        <f aca="true" t="shared" si="15" ref="P40:P50">ROUND(H40+N40+O40,2)</f>
        <v>0</v>
      </c>
    </row>
    <row r="41" spans="1:16" s="192" customFormat="1" ht="27" customHeight="1">
      <c r="A41" s="291" t="s">
        <v>133</v>
      </c>
      <c r="B41" s="292">
        <v>36</v>
      </c>
      <c r="C41" s="292">
        <v>39</v>
      </c>
      <c r="D41" s="292">
        <v>20</v>
      </c>
      <c r="E41" s="294">
        <v>31</v>
      </c>
      <c r="F41" s="264">
        <v>39</v>
      </c>
      <c r="G41" s="237">
        <v>30</v>
      </c>
      <c r="H41" s="205">
        <f aca="true" t="shared" si="16" ref="H41:H50">((E41+F41+G41)-(B41+C41+D41))*1.5</f>
        <v>7.5</v>
      </c>
      <c r="I41" s="211">
        <v>36</v>
      </c>
      <c r="J41" s="237">
        <v>30</v>
      </c>
      <c r="K41" s="237">
        <v>41</v>
      </c>
      <c r="L41" s="293">
        <f aca="true" t="shared" si="17" ref="L41:L50">(I41+J41+K41)*1.5</f>
        <v>160.5</v>
      </c>
      <c r="M41" s="205">
        <f>VLOOKUP(A41,'2021年住培'!$A:$K,11,0)</f>
        <v>162</v>
      </c>
      <c r="N41" s="201">
        <f aca="true" t="shared" si="18" ref="N41:N50">L41-M41</f>
        <v>-1.5</v>
      </c>
      <c r="O41" s="201"/>
      <c r="P41" s="201">
        <f t="shared" si="15"/>
        <v>6</v>
      </c>
    </row>
    <row r="42" spans="1:16" s="192" customFormat="1" ht="27" customHeight="1">
      <c r="A42" s="291" t="s">
        <v>134</v>
      </c>
      <c r="B42" s="292">
        <v>142</v>
      </c>
      <c r="C42" s="292">
        <v>125</v>
      </c>
      <c r="D42" s="292">
        <v>40</v>
      </c>
      <c r="E42" s="294">
        <v>135</v>
      </c>
      <c r="F42" s="264">
        <v>125</v>
      </c>
      <c r="G42" s="237">
        <v>111</v>
      </c>
      <c r="H42" s="205">
        <f t="shared" si="16"/>
        <v>96</v>
      </c>
      <c r="I42" s="211">
        <v>107</v>
      </c>
      <c r="J42" s="237">
        <v>102</v>
      </c>
      <c r="K42" s="237">
        <v>84</v>
      </c>
      <c r="L42" s="293">
        <f t="shared" si="17"/>
        <v>439.5</v>
      </c>
      <c r="M42" s="205">
        <f>VLOOKUP(A42,'2021年住培'!$A:$K,11,0)</f>
        <v>510</v>
      </c>
      <c r="N42" s="201">
        <f t="shared" si="18"/>
        <v>-70.5</v>
      </c>
      <c r="O42" s="201"/>
      <c r="P42" s="201">
        <f t="shared" si="15"/>
        <v>25.5</v>
      </c>
    </row>
    <row r="43" spans="1:16" s="192" customFormat="1" ht="27" customHeight="1">
      <c r="A43" s="291" t="s">
        <v>135</v>
      </c>
      <c r="B43" s="292">
        <v>43</v>
      </c>
      <c r="C43" s="292">
        <v>56</v>
      </c>
      <c r="D43" s="292">
        <v>30</v>
      </c>
      <c r="E43" s="294">
        <v>37</v>
      </c>
      <c r="F43" s="264">
        <v>56</v>
      </c>
      <c r="G43" s="237">
        <v>28</v>
      </c>
      <c r="H43" s="205">
        <f t="shared" si="16"/>
        <v>-12</v>
      </c>
      <c r="I43" s="211">
        <v>53</v>
      </c>
      <c r="J43" s="237">
        <v>27</v>
      </c>
      <c r="K43" s="237">
        <v>52</v>
      </c>
      <c r="L43" s="293">
        <f t="shared" si="17"/>
        <v>198</v>
      </c>
      <c r="M43" s="205">
        <f>VLOOKUP(A43,'2021年住培'!$A:$K,11,0)</f>
        <v>243</v>
      </c>
      <c r="N43" s="201">
        <f t="shared" si="18"/>
        <v>-45</v>
      </c>
      <c r="O43" s="201"/>
      <c r="P43" s="201">
        <f t="shared" si="15"/>
        <v>-57</v>
      </c>
    </row>
    <row r="44" spans="1:16" s="192" customFormat="1" ht="27" customHeight="1">
      <c r="A44" s="291" t="s">
        <v>136</v>
      </c>
      <c r="B44" s="292">
        <v>60</v>
      </c>
      <c r="C44" s="292">
        <v>116</v>
      </c>
      <c r="D44" s="292">
        <v>30</v>
      </c>
      <c r="E44" s="294">
        <v>59</v>
      </c>
      <c r="F44" s="264">
        <v>116</v>
      </c>
      <c r="G44" s="237">
        <v>40</v>
      </c>
      <c r="H44" s="205">
        <f t="shared" si="16"/>
        <v>13.5</v>
      </c>
      <c r="I44" s="211">
        <v>112</v>
      </c>
      <c r="J44" s="237">
        <v>39</v>
      </c>
      <c r="K44" s="237">
        <v>49</v>
      </c>
      <c r="L44" s="293">
        <f t="shared" si="17"/>
        <v>300</v>
      </c>
      <c r="M44" s="205">
        <f>VLOOKUP(A44,'2021年住培'!$A:$K,11,0)</f>
        <v>468</v>
      </c>
      <c r="N44" s="201">
        <f t="shared" si="18"/>
        <v>-168</v>
      </c>
      <c r="O44" s="201"/>
      <c r="P44" s="201">
        <f t="shared" si="15"/>
        <v>-154.5</v>
      </c>
    </row>
    <row r="45" spans="1:16" s="192" customFormat="1" ht="27" customHeight="1">
      <c r="A45" s="291" t="s">
        <v>137</v>
      </c>
      <c r="B45" s="292">
        <v>73</v>
      </c>
      <c r="C45" s="292">
        <v>103</v>
      </c>
      <c r="D45" s="292">
        <v>40</v>
      </c>
      <c r="E45" s="294">
        <v>69</v>
      </c>
      <c r="F45" s="264">
        <v>103</v>
      </c>
      <c r="G45" s="237">
        <v>83</v>
      </c>
      <c r="H45" s="205">
        <f t="shared" si="16"/>
        <v>58.5</v>
      </c>
      <c r="I45" s="211">
        <v>97</v>
      </c>
      <c r="J45" s="237">
        <v>77</v>
      </c>
      <c r="K45" s="237">
        <v>103</v>
      </c>
      <c r="L45" s="293">
        <f t="shared" si="17"/>
        <v>415.5</v>
      </c>
      <c r="M45" s="205">
        <f>VLOOKUP(A45,'2021年住培'!$A:$K,11,0)</f>
        <v>444</v>
      </c>
      <c r="N45" s="201">
        <f t="shared" si="18"/>
        <v>-28.5</v>
      </c>
      <c r="O45" s="201"/>
      <c r="P45" s="201">
        <f t="shared" si="15"/>
        <v>30</v>
      </c>
    </row>
    <row r="46" spans="1:16" s="192" customFormat="1" ht="27" customHeight="1">
      <c r="A46" s="291" t="s">
        <v>138</v>
      </c>
      <c r="B46" s="292">
        <v>167</v>
      </c>
      <c r="C46" s="292">
        <v>177</v>
      </c>
      <c r="D46" s="292">
        <v>40</v>
      </c>
      <c r="E46" s="294">
        <v>160</v>
      </c>
      <c r="F46" s="264">
        <v>177</v>
      </c>
      <c r="G46" s="237">
        <v>126</v>
      </c>
      <c r="H46" s="205">
        <f t="shared" si="16"/>
        <v>118.5</v>
      </c>
      <c r="I46" s="211">
        <v>160</v>
      </c>
      <c r="J46" s="237">
        <v>119</v>
      </c>
      <c r="K46" s="237">
        <v>93</v>
      </c>
      <c r="L46" s="293">
        <f t="shared" si="17"/>
        <v>558</v>
      </c>
      <c r="M46" s="205">
        <f>VLOOKUP(A46,'2021年住培'!$A:$K,11,0)</f>
        <v>711</v>
      </c>
      <c r="N46" s="201">
        <f t="shared" si="18"/>
        <v>-153</v>
      </c>
      <c r="O46" s="201"/>
      <c r="P46" s="201">
        <f t="shared" si="15"/>
        <v>-34.5</v>
      </c>
    </row>
    <row r="47" spans="1:16" s="192" customFormat="1" ht="27" customHeight="1">
      <c r="A47" s="291" t="s">
        <v>139</v>
      </c>
      <c r="B47" s="292">
        <v>90</v>
      </c>
      <c r="C47" s="292">
        <v>98</v>
      </c>
      <c r="D47" s="292">
        <v>40</v>
      </c>
      <c r="E47" s="294">
        <v>86</v>
      </c>
      <c r="F47" s="264">
        <v>98</v>
      </c>
      <c r="G47" s="237">
        <v>62</v>
      </c>
      <c r="H47" s="205">
        <f t="shared" si="16"/>
        <v>27</v>
      </c>
      <c r="I47" s="211">
        <v>87</v>
      </c>
      <c r="J47" s="237">
        <v>59</v>
      </c>
      <c r="K47" s="237">
        <v>55</v>
      </c>
      <c r="L47" s="293">
        <f t="shared" si="17"/>
        <v>301.5</v>
      </c>
      <c r="M47" s="205">
        <f>VLOOKUP(A47,'2021年住培'!$A:$K,11,0)</f>
        <v>399</v>
      </c>
      <c r="N47" s="201">
        <f t="shared" si="18"/>
        <v>-97.5</v>
      </c>
      <c r="O47" s="201"/>
      <c r="P47" s="201">
        <f t="shared" si="15"/>
        <v>-70.5</v>
      </c>
    </row>
    <row r="48" spans="1:16" s="192" customFormat="1" ht="27" customHeight="1">
      <c r="A48" s="291" t="s">
        <v>140</v>
      </c>
      <c r="B48" s="292">
        <v>52</v>
      </c>
      <c r="C48" s="292">
        <v>34</v>
      </c>
      <c r="D48" s="292">
        <v>20</v>
      </c>
      <c r="E48" s="294">
        <v>52</v>
      </c>
      <c r="F48" s="264">
        <v>34</v>
      </c>
      <c r="G48" s="237">
        <v>37</v>
      </c>
      <c r="H48" s="205">
        <f t="shared" si="16"/>
        <v>25.5</v>
      </c>
      <c r="I48" s="211">
        <v>32</v>
      </c>
      <c r="J48" s="237">
        <v>33</v>
      </c>
      <c r="K48" s="237">
        <v>26</v>
      </c>
      <c r="L48" s="293">
        <f t="shared" si="17"/>
        <v>136.5</v>
      </c>
      <c r="M48" s="205">
        <f>VLOOKUP(A48,'2021年住培'!$A:$K,11,0)</f>
        <v>147</v>
      </c>
      <c r="N48" s="201">
        <f t="shared" si="18"/>
        <v>-10.5</v>
      </c>
      <c r="O48" s="201"/>
      <c r="P48" s="201">
        <f t="shared" si="15"/>
        <v>15</v>
      </c>
    </row>
    <row r="49" spans="1:16" s="192" customFormat="1" ht="27" customHeight="1">
      <c r="A49" s="291" t="s">
        <v>141</v>
      </c>
      <c r="B49" s="292"/>
      <c r="C49" s="292"/>
      <c r="D49" s="292"/>
      <c r="E49" s="296"/>
      <c r="F49" s="296"/>
      <c r="G49" s="237"/>
      <c r="H49" s="205"/>
      <c r="I49" s="211"/>
      <c r="J49" s="237"/>
      <c r="K49" s="237">
        <f>VLOOKUP(A49,'[1]住培'!$A:$D,4,0)</f>
        <v>13</v>
      </c>
      <c r="L49" s="293">
        <f t="shared" si="17"/>
        <v>19.5</v>
      </c>
      <c r="M49" s="205">
        <f>VLOOKUP(A49,'[1]住培'!$A:$F,6,0)</f>
        <v>0</v>
      </c>
      <c r="N49" s="201">
        <f t="shared" si="18"/>
        <v>19.5</v>
      </c>
      <c r="O49" s="201"/>
      <c r="P49" s="201">
        <f t="shared" si="15"/>
        <v>19.5</v>
      </c>
    </row>
    <row r="50" spans="1:16" s="192" customFormat="1" ht="27" customHeight="1">
      <c r="A50" s="291" t="s">
        <v>142</v>
      </c>
      <c r="B50" s="292">
        <v>30</v>
      </c>
      <c r="C50" s="292">
        <v>51</v>
      </c>
      <c r="D50" s="292">
        <v>20</v>
      </c>
      <c r="E50" s="296">
        <v>51</v>
      </c>
      <c r="F50" s="296">
        <v>51</v>
      </c>
      <c r="G50" s="237">
        <v>32</v>
      </c>
      <c r="H50" s="205">
        <f t="shared" si="16"/>
        <v>49.5</v>
      </c>
      <c r="I50" s="211">
        <f>VLOOKUP(A50,'[1]住培'!$A:$B,2,0)</f>
        <v>51</v>
      </c>
      <c r="J50" s="237">
        <f>VLOOKUP(A50,'[1]住培'!$A:$C,3,0)</f>
        <v>32</v>
      </c>
      <c r="K50" s="237">
        <f>VLOOKUP(A50,'[1]住培'!$A:$D,4,0)</f>
        <v>34</v>
      </c>
      <c r="L50" s="293">
        <f t="shared" si="17"/>
        <v>175.5</v>
      </c>
      <c r="M50" s="205">
        <f>VLOOKUP(A50,'2021年住培'!$A:$K,11,0)</f>
        <v>198</v>
      </c>
      <c r="N50" s="201">
        <f t="shared" si="18"/>
        <v>-22.5</v>
      </c>
      <c r="O50" s="201"/>
      <c r="P50" s="201">
        <f t="shared" si="15"/>
        <v>27</v>
      </c>
    </row>
    <row r="51" spans="1:16" s="192" customFormat="1" ht="27" customHeight="1">
      <c r="A51" s="288" t="s">
        <v>44</v>
      </c>
      <c r="B51" s="289">
        <f aca="true" t="shared" si="19" ref="B51:K51">SUM(B53:B64)</f>
        <v>665</v>
      </c>
      <c r="C51" s="289">
        <f t="shared" si="19"/>
        <v>713</v>
      </c>
      <c r="D51" s="289">
        <f t="shared" si="19"/>
        <v>438</v>
      </c>
      <c r="E51" s="289">
        <f t="shared" si="19"/>
        <v>580</v>
      </c>
      <c r="F51" s="289">
        <f t="shared" si="19"/>
        <v>713</v>
      </c>
      <c r="G51" s="289">
        <f t="shared" si="19"/>
        <v>698</v>
      </c>
      <c r="H51" s="290">
        <f t="shared" si="19"/>
        <v>262.5</v>
      </c>
      <c r="I51" s="302">
        <f t="shared" si="19"/>
        <v>705</v>
      </c>
      <c r="J51" s="302">
        <f t="shared" si="19"/>
        <v>698</v>
      </c>
      <c r="K51" s="302">
        <f t="shared" si="19"/>
        <v>728</v>
      </c>
      <c r="L51" s="303">
        <f>SUM(L52:L64)</f>
        <v>3273.5</v>
      </c>
      <c r="M51" s="303">
        <f>SUM(M52:M64)</f>
        <v>3026</v>
      </c>
      <c r="N51" s="303">
        <f>SUM(N52:N64)</f>
        <v>247.5</v>
      </c>
      <c r="O51" s="303"/>
      <c r="P51" s="303">
        <f>SUM(P52:P64)</f>
        <v>510</v>
      </c>
    </row>
    <row r="52" spans="1:16" s="192" customFormat="1" ht="27" customHeight="1">
      <c r="A52" s="288" t="s">
        <v>143</v>
      </c>
      <c r="B52" s="289"/>
      <c r="C52" s="289"/>
      <c r="D52" s="289"/>
      <c r="E52" s="289"/>
      <c r="F52" s="289"/>
      <c r="G52" s="289"/>
      <c r="H52" s="290"/>
      <c r="I52" s="302"/>
      <c r="J52" s="302"/>
      <c r="K52" s="302"/>
      <c r="L52" s="303">
        <v>77</v>
      </c>
      <c r="M52" s="200">
        <v>77</v>
      </c>
      <c r="N52" s="201">
        <f>L52-M52</f>
        <v>0</v>
      </c>
      <c r="O52" s="303"/>
      <c r="P52" s="201">
        <f aca="true" t="shared" si="20" ref="P52:P64">ROUND(H52+N52+O52,2)</f>
        <v>0</v>
      </c>
    </row>
    <row r="53" spans="1:16" s="192" customFormat="1" ht="27" customHeight="1">
      <c r="A53" s="291" t="s">
        <v>144</v>
      </c>
      <c r="B53" s="292">
        <v>120</v>
      </c>
      <c r="C53" s="292">
        <v>147</v>
      </c>
      <c r="D53" s="292">
        <v>80</v>
      </c>
      <c r="E53" s="292">
        <v>104</v>
      </c>
      <c r="F53" s="292">
        <v>147</v>
      </c>
      <c r="G53" s="292">
        <v>126</v>
      </c>
      <c r="H53" s="205">
        <f aca="true" t="shared" si="21" ref="H53:H64">((E53+F53+G53)-(B53+C53+D53))*1.5</f>
        <v>45</v>
      </c>
      <c r="I53" s="211">
        <v>145</v>
      </c>
      <c r="J53" s="237">
        <v>126</v>
      </c>
      <c r="K53" s="237">
        <v>96</v>
      </c>
      <c r="L53" s="293">
        <f aca="true" t="shared" si="22" ref="L53:L64">(I53+J53+K53)*1.5</f>
        <v>550.5</v>
      </c>
      <c r="M53" s="205">
        <f>VLOOKUP(A53,'2021年住培'!$A:$K,11,0)</f>
        <v>606</v>
      </c>
      <c r="N53" s="201">
        <f>L53-M53</f>
        <v>-55.5</v>
      </c>
      <c r="O53" s="201"/>
      <c r="P53" s="201">
        <f t="shared" si="20"/>
        <v>-10.5</v>
      </c>
    </row>
    <row r="54" spans="1:16" s="192" customFormat="1" ht="27" customHeight="1">
      <c r="A54" s="291" t="s">
        <v>145</v>
      </c>
      <c r="B54" s="292">
        <v>131</v>
      </c>
      <c r="C54" s="292">
        <v>139</v>
      </c>
      <c r="D54" s="292">
        <v>80</v>
      </c>
      <c r="E54" s="292">
        <v>114</v>
      </c>
      <c r="F54" s="292">
        <v>139</v>
      </c>
      <c r="G54" s="292">
        <v>139</v>
      </c>
      <c r="H54" s="205">
        <f t="shared" si="21"/>
        <v>63</v>
      </c>
      <c r="I54" s="211">
        <v>138</v>
      </c>
      <c r="J54" s="237">
        <v>140</v>
      </c>
      <c r="K54" s="237">
        <v>151</v>
      </c>
      <c r="L54" s="293">
        <f t="shared" si="22"/>
        <v>643.5</v>
      </c>
      <c r="M54" s="205">
        <f>VLOOKUP(A54,'2021年住培'!$A:$K,11,0)</f>
        <v>567</v>
      </c>
      <c r="N54" s="201">
        <f aca="true" t="shared" si="23" ref="N54:N64">L54-M54</f>
        <v>76.5</v>
      </c>
      <c r="O54" s="201"/>
      <c r="P54" s="201">
        <f t="shared" si="20"/>
        <v>139.5</v>
      </c>
    </row>
    <row r="55" spans="1:16" s="192" customFormat="1" ht="27" customHeight="1">
      <c r="A55" s="291" t="s">
        <v>146</v>
      </c>
      <c r="B55" s="292">
        <v>120</v>
      </c>
      <c r="C55" s="292">
        <v>95</v>
      </c>
      <c r="D55" s="292">
        <v>80</v>
      </c>
      <c r="E55" s="292">
        <v>98</v>
      </c>
      <c r="F55" s="292">
        <v>95</v>
      </c>
      <c r="G55" s="292">
        <v>163</v>
      </c>
      <c r="H55" s="205">
        <f t="shared" si="21"/>
        <v>91.5</v>
      </c>
      <c r="I55" s="211">
        <v>95</v>
      </c>
      <c r="J55" s="237">
        <v>162</v>
      </c>
      <c r="K55" s="237">
        <v>134</v>
      </c>
      <c r="L55" s="293">
        <f t="shared" si="22"/>
        <v>586.5</v>
      </c>
      <c r="M55" s="205">
        <f>VLOOKUP(A55,'2021年住培'!$A:$K,11,0)</f>
        <v>405</v>
      </c>
      <c r="N55" s="201">
        <f t="shared" si="23"/>
        <v>181.5</v>
      </c>
      <c r="O55" s="201"/>
      <c r="P55" s="201">
        <f t="shared" si="20"/>
        <v>273</v>
      </c>
    </row>
    <row r="56" spans="1:16" s="192" customFormat="1" ht="42.75" customHeight="1">
      <c r="A56" s="291" t="s">
        <v>147</v>
      </c>
      <c r="B56" s="292">
        <v>71</v>
      </c>
      <c r="C56" s="292">
        <v>92</v>
      </c>
      <c r="D56" s="292">
        <v>38</v>
      </c>
      <c r="E56" s="292">
        <v>68</v>
      </c>
      <c r="F56" s="292">
        <v>92</v>
      </c>
      <c r="G56" s="292">
        <v>48</v>
      </c>
      <c r="H56" s="205">
        <f t="shared" si="21"/>
        <v>10.5</v>
      </c>
      <c r="I56" s="211">
        <v>91</v>
      </c>
      <c r="J56" s="237">
        <v>48</v>
      </c>
      <c r="K56" s="237">
        <v>53</v>
      </c>
      <c r="L56" s="293">
        <f t="shared" si="22"/>
        <v>288</v>
      </c>
      <c r="M56" s="205">
        <f>VLOOKUP(A56,'2021年住培'!$A:$K,11,0)</f>
        <v>366</v>
      </c>
      <c r="N56" s="201">
        <f t="shared" si="23"/>
        <v>-78</v>
      </c>
      <c r="O56" s="201"/>
      <c r="P56" s="201">
        <f t="shared" si="20"/>
        <v>-67.5</v>
      </c>
    </row>
    <row r="57" spans="1:16" s="192" customFormat="1" ht="27" customHeight="1">
      <c r="A57" s="291" t="s">
        <v>148</v>
      </c>
      <c r="B57" s="292">
        <v>37</v>
      </c>
      <c r="C57" s="292">
        <v>25</v>
      </c>
      <c r="D57" s="292">
        <v>20</v>
      </c>
      <c r="E57" s="292">
        <v>31</v>
      </c>
      <c r="F57" s="292">
        <v>25</v>
      </c>
      <c r="G57" s="292">
        <v>25</v>
      </c>
      <c r="H57" s="205">
        <f t="shared" si="21"/>
        <v>-1.5</v>
      </c>
      <c r="I57" s="211">
        <v>23</v>
      </c>
      <c r="J57" s="237">
        <v>25</v>
      </c>
      <c r="K57" s="237">
        <v>19</v>
      </c>
      <c r="L57" s="293">
        <f t="shared" si="22"/>
        <v>100.5</v>
      </c>
      <c r="M57" s="205">
        <f>VLOOKUP(A57,'2021年住培'!$A:$K,11,0)</f>
        <v>105</v>
      </c>
      <c r="N57" s="201">
        <f t="shared" si="23"/>
        <v>-4.5</v>
      </c>
      <c r="O57" s="201"/>
      <c r="P57" s="201">
        <f t="shared" si="20"/>
        <v>-6</v>
      </c>
    </row>
    <row r="58" spans="1:16" s="192" customFormat="1" ht="27" customHeight="1">
      <c r="A58" s="291" t="s">
        <v>149</v>
      </c>
      <c r="B58" s="292">
        <v>87</v>
      </c>
      <c r="C58" s="292">
        <v>97</v>
      </c>
      <c r="D58" s="292">
        <v>50</v>
      </c>
      <c r="E58" s="292">
        <v>66</v>
      </c>
      <c r="F58" s="292">
        <v>97</v>
      </c>
      <c r="G58" s="292">
        <v>77</v>
      </c>
      <c r="H58" s="205">
        <f t="shared" si="21"/>
        <v>9</v>
      </c>
      <c r="I58" s="211">
        <v>95</v>
      </c>
      <c r="J58" s="237">
        <v>77</v>
      </c>
      <c r="K58" s="237">
        <v>58</v>
      </c>
      <c r="L58" s="293">
        <f t="shared" si="22"/>
        <v>345</v>
      </c>
      <c r="M58" s="205">
        <f>VLOOKUP(A58,'2021年住培'!$A:$K,11,0)</f>
        <v>396</v>
      </c>
      <c r="N58" s="201">
        <f t="shared" si="23"/>
        <v>-51</v>
      </c>
      <c r="O58" s="201"/>
      <c r="P58" s="201">
        <f t="shared" si="20"/>
        <v>-42</v>
      </c>
    </row>
    <row r="59" spans="1:16" s="192" customFormat="1" ht="27" customHeight="1">
      <c r="A59" s="291" t="s">
        <v>150</v>
      </c>
      <c r="B59" s="292"/>
      <c r="C59" s="292"/>
      <c r="D59" s="292"/>
      <c r="E59" s="292"/>
      <c r="F59" s="292"/>
      <c r="G59" s="292"/>
      <c r="H59" s="205"/>
      <c r="I59" s="211"/>
      <c r="J59" s="237"/>
      <c r="K59" s="237">
        <v>4</v>
      </c>
      <c r="L59" s="293">
        <f t="shared" si="22"/>
        <v>6</v>
      </c>
      <c r="M59" s="205">
        <v>0</v>
      </c>
      <c r="N59" s="201">
        <f t="shared" si="23"/>
        <v>6</v>
      </c>
      <c r="O59" s="201"/>
      <c r="P59" s="201">
        <f t="shared" si="20"/>
        <v>6</v>
      </c>
    </row>
    <row r="60" spans="1:16" s="192" customFormat="1" ht="27" customHeight="1">
      <c r="A60" s="291" t="s">
        <v>151</v>
      </c>
      <c r="B60" s="292"/>
      <c r="C60" s="292"/>
      <c r="D60" s="292"/>
      <c r="E60" s="292"/>
      <c r="F60" s="292"/>
      <c r="G60" s="292"/>
      <c r="H60" s="205"/>
      <c r="I60" s="211"/>
      <c r="J60" s="237"/>
      <c r="K60" s="237">
        <v>22</v>
      </c>
      <c r="L60" s="293">
        <f t="shared" si="22"/>
        <v>33</v>
      </c>
      <c r="M60" s="205">
        <v>0</v>
      </c>
      <c r="N60" s="201">
        <f t="shared" si="23"/>
        <v>33</v>
      </c>
      <c r="O60" s="201"/>
      <c r="P60" s="201">
        <f t="shared" si="20"/>
        <v>33</v>
      </c>
    </row>
    <row r="61" spans="1:16" s="192" customFormat="1" ht="27" customHeight="1">
      <c r="A61" s="291" t="s">
        <v>152</v>
      </c>
      <c r="B61" s="292"/>
      <c r="C61" s="292"/>
      <c r="D61" s="292"/>
      <c r="E61" s="292"/>
      <c r="F61" s="292"/>
      <c r="G61" s="292"/>
      <c r="H61" s="205"/>
      <c r="I61" s="211"/>
      <c r="J61" s="237"/>
      <c r="K61" s="237">
        <v>11</v>
      </c>
      <c r="L61" s="293">
        <f t="shared" si="22"/>
        <v>16.5</v>
      </c>
      <c r="M61" s="205">
        <v>0</v>
      </c>
      <c r="N61" s="201">
        <f t="shared" si="23"/>
        <v>16.5</v>
      </c>
      <c r="O61" s="201"/>
      <c r="P61" s="201">
        <f t="shared" si="20"/>
        <v>16.5</v>
      </c>
    </row>
    <row r="62" spans="1:16" s="192" customFormat="1" ht="27" customHeight="1">
      <c r="A62" s="291" t="s">
        <v>153</v>
      </c>
      <c r="B62" s="292"/>
      <c r="C62" s="292"/>
      <c r="D62" s="292"/>
      <c r="E62" s="292"/>
      <c r="F62" s="292"/>
      <c r="G62" s="292"/>
      <c r="H62" s="205"/>
      <c r="I62" s="211"/>
      <c r="J62" s="237"/>
      <c r="K62" s="237">
        <f>VLOOKUP(A62,'[1]住培'!$A:$D,4,0)</f>
        <v>49</v>
      </c>
      <c r="L62" s="293">
        <f t="shared" si="22"/>
        <v>73.5</v>
      </c>
      <c r="M62" s="205">
        <v>0</v>
      </c>
      <c r="N62" s="201">
        <f t="shared" si="23"/>
        <v>73.5</v>
      </c>
      <c r="O62" s="201"/>
      <c r="P62" s="201">
        <f t="shared" si="20"/>
        <v>73.5</v>
      </c>
    </row>
    <row r="63" spans="1:16" s="192" customFormat="1" ht="27" customHeight="1">
      <c r="A63" s="291" t="s">
        <v>154</v>
      </c>
      <c r="B63" s="292"/>
      <c r="C63" s="292"/>
      <c r="D63" s="292"/>
      <c r="E63" s="292"/>
      <c r="F63" s="292"/>
      <c r="G63" s="292"/>
      <c r="H63" s="205"/>
      <c r="I63" s="211"/>
      <c r="J63" s="237"/>
      <c r="K63" s="237">
        <f>VLOOKUP(A63,'[1]住培'!$A:$D,4,0)</f>
        <v>72</v>
      </c>
      <c r="L63" s="293">
        <f t="shared" si="22"/>
        <v>108</v>
      </c>
      <c r="M63" s="205">
        <v>0</v>
      </c>
      <c r="N63" s="201">
        <f t="shared" si="23"/>
        <v>108</v>
      </c>
      <c r="O63" s="201"/>
      <c r="P63" s="201">
        <f t="shared" si="20"/>
        <v>108</v>
      </c>
    </row>
    <row r="64" spans="1:16" s="192" customFormat="1" ht="27" customHeight="1">
      <c r="A64" s="291" t="s">
        <v>155</v>
      </c>
      <c r="B64" s="292">
        <v>99</v>
      </c>
      <c r="C64" s="292">
        <v>118</v>
      </c>
      <c r="D64" s="292">
        <v>90</v>
      </c>
      <c r="E64" s="296">
        <v>99</v>
      </c>
      <c r="F64" s="296">
        <v>118</v>
      </c>
      <c r="G64" s="237">
        <v>120</v>
      </c>
      <c r="H64" s="205">
        <f t="shared" si="21"/>
        <v>45</v>
      </c>
      <c r="I64" s="211">
        <f>VLOOKUP(A64,'[1]住培'!$A:$B,2,0)</f>
        <v>118</v>
      </c>
      <c r="J64" s="237">
        <f>VLOOKUP(A64,'[1]住培'!$A:$C,3,0)</f>
        <v>120</v>
      </c>
      <c r="K64" s="237">
        <f>VLOOKUP(A64,'[1]住培'!$A:$D,4,0)</f>
        <v>59</v>
      </c>
      <c r="L64" s="293">
        <f t="shared" si="22"/>
        <v>445.5</v>
      </c>
      <c r="M64" s="205">
        <f>VLOOKUP(A64,'2021年住培'!$A:$K,11,0)</f>
        <v>504</v>
      </c>
      <c r="N64" s="201">
        <f t="shared" si="23"/>
        <v>-58.5</v>
      </c>
      <c r="O64" s="201"/>
      <c r="P64" s="201">
        <f t="shared" si="20"/>
        <v>-13.5</v>
      </c>
    </row>
    <row r="65" spans="1:16" s="192" customFormat="1" ht="27" customHeight="1">
      <c r="A65" s="288" t="s">
        <v>45</v>
      </c>
      <c r="B65" s="289">
        <f aca="true" t="shared" si="24" ref="B65:H65">B66+B67</f>
        <v>136</v>
      </c>
      <c r="C65" s="289">
        <f t="shared" si="24"/>
        <v>170</v>
      </c>
      <c r="D65" s="289">
        <f t="shared" si="24"/>
        <v>70</v>
      </c>
      <c r="E65" s="289">
        <f t="shared" si="24"/>
        <v>134</v>
      </c>
      <c r="F65" s="289">
        <f t="shared" si="24"/>
        <v>170</v>
      </c>
      <c r="G65" s="289">
        <f t="shared" si="24"/>
        <v>195</v>
      </c>
      <c r="H65" s="290">
        <f t="shared" si="24"/>
        <v>184.5</v>
      </c>
      <c r="I65" s="302">
        <f aca="true" t="shared" si="25" ref="I65:N65">SUM(I66:I67)</f>
        <v>161</v>
      </c>
      <c r="J65" s="302">
        <f t="shared" si="25"/>
        <v>193</v>
      </c>
      <c r="K65" s="302">
        <f t="shared" si="25"/>
        <v>221</v>
      </c>
      <c r="L65" s="303">
        <f t="shared" si="25"/>
        <v>862.5</v>
      </c>
      <c r="M65" s="303">
        <f t="shared" si="25"/>
        <v>705</v>
      </c>
      <c r="N65" s="303">
        <f t="shared" si="25"/>
        <v>157.5</v>
      </c>
      <c r="O65" s="303"/>
      <c r="P65" s="303">
        <f>SUM(P66:P67)</f>
        <v>342</v>
      </c>
    </row>
    <row r="66" spans="1:16" s="192" customFormat="1" ht="27" customHeight="1">
      <c r="A66" s="291" t="s">
        <v>156</v>
      </c>
      <c r="B66" s="292">
        <v>90</v>
      </c>
      <c r="C66" s="292">
        <v>111</v>
      </c>
      <c r="D66" s="292">
        <v>40</v>
      </c>
      <c r="E66" s="294">
        <v>90</v>
      </c>
      <c r="F66" s="264">
        <v>111</v>
      </c>
      <c r="G66" s="237">
        <v>87</v>
      </c>
      <c r="H66" s="205">
        <f>((E66+F66+G66)-(B66+C66+D66))*1.5</f>
        <v>70.5</v>
      </c>
      <c r="I66" s="211">
        <v>104</v>
      </c>
      <c r="J66" s="237">
        <v>84</v>
      </c>
      <c r="K66" s="237">
        <v>76</v>
      </c>
      <c r="L66" s="293">
        <f>(I66+J66+K66)*1.5</f>
        <v>396</v>
      </c>
      <c r="M66" s="205">
        <f>VLOOKUP(A66,'2021年住培'!$A:$K,11,0)</f>
        <v>468</v>
      </c>
      <c r="N66" s="201">
        <f>L66-M66</f>
        <v>-72</v>
      </c>
      <c r="O66" s="201"/>
      <c r="P66" s="201">
        <f>ROUND(H66+N66+O66,2)</f>
        <v>-1.5</v>
      </c>
    </row>
    <row r="67" spans="1:16" s="192" customFormat="1" ht="27" customHeight="1">
      <c r="A67" s="291" t="s">
        <v>157</v>
      </c>
      <c r="B67" s="292">
        <v>46</v>
      </c>
      <c r="C67" s="292">
        <v>59</v>
      </c>
      <c r="D67" s="292">
        <v>30</v>
      </c>
      <c r="E67" s="294">
        <v>44</v>
      </c>
      <c r="F67" s="264">
        <v>59</v>
      </c>
      <c r="G67" s="237">
        <v>108</v>
      </c>
      <c r="H67" s="205">
        <f>((E67+F67+G67)-(B67+C67+D67))*1.5</f>
        <v>114</v>
      </c>
      <c r="I67" s="211">
        <v>57</v>
      </c>
      <c r="J67" s="237">
        <v>109</v>
      </c>
      <c r="K67" s="237">
        <v>145</v>
      </c>
      <c r="L67" s="293">
        <f>(I67+J67+K67)*1.5</f>
        <v>466.5</v>
      </c>
      <c r="M67" s="205">
        <f>VLOOKUP(A67,'2021年住培'!$A:$K,11,0)</f>
        <v>237</v>
      </c>
      <c r="N67" s="201">
        <f>L67-M67</f>
        <v>229.5</v>
      </c>
      <c r="O67" s="201"/>
      <c r="P67" s="201">
        <f>ROUND(H67+N67+O67,2)</f>
        <v>343.5</v>
      </c>
    </row>
    <row r="68" spans="1:16" s="192" customFormat="1" ht="27" customHeight="1">
      <c r="A68" s="288" t="s">
        <v>46</v>
      </c>
      <c r="B68" s="289">
        <f>B69</f>
        <v>21</v>
      </c>
      <c r="C68" s="289">
        <f>C69</f>
        <v>22</v>
      </c>
      <c r="D68" s="289">
        <f>D69</f>
        <v>20</v>
      </c>
      <c r="E68" s="289">
        <f>E69+E70</f>
        <v>21</v>
      </c>
      <c r="F68" s="289">
        <f>F69+F70</f>
        <v>22</v>
      </c>
      <c r="G68" s="289">
        <f>G69+G70</f>
        <v>42</v>
      </c>
      <c r="H68" s="290">
        <f>H69+H70</f>
        <v>33</v>
      </c>
      <c r="I68" s="302">
        <f aca="true" t="shared" si="26" ref="I68:N68">SUM(I69:I70)</f>
        <v>22</v>
      </c>
      <c r="J68" s="302">
        <f t="shared" si="26"/>
        <v>41</v>
      </c>
      <c r="K68" s="302">
        <f t="shared" si="26"/>
        <v>34</v>
      </c>
      <c r="L68" s="303">
        <f t="shared" si="26"/>
        <v>145.5</v>
      </c>
      <c r="M68" s="303">
        <f t="shared" si="26"/>
        <v>126</v>
      </c>
      <c r="N68" s="303">
        <f t="shared" si="26"/>
        <v>19.5</v>
      </c>
      <c r="O68" s="303"/>
      <c r="P68" s="303">
        <f>SUM(P69:P70)</f>
        <v>52.5</v>
      </c>
    </row>
    <row r="69" spans="1:16" s="192" customFormat="1" ht="27" customHeight="1">
      <c r="A69" s="291" t="s">
        <v>158</v>
      </c>
      <c r="B69" s="292">
        <v>21</v>
      </c>
      <c r="C69" s="292">
        <v>22</v>
      </c>
      <c r="D69" s="292">
        <v>20</v>
      </c>
      <c r="E69" s="292">
        <v>21</v>
      </c>
      <c r="F69" s="292">
        <v>22</v>
      </c>
      <c r="G69" s="292">
        <v>42</v>
      </c>
      <c r="H69" s="205">
        <f>((E69+F69+G69)-(B69+C69+D69))*1.5</f>
        <v>33</v>
      </c>
      <c r="I69" s="211">
        <v>22</v>
      </c>
      <c r="J69" s="237">
        <v>41</v>
      </c>
      <c r="K69" s="237">
        <v>32</v>
      </c>
      <c r="L69" s="293">
        <f>(I69+J69+K69)*1.5</f>
        <v>142.5</v>
      </c>
      <c r="M69" s="205">
        <f>VLOOKUP(A69,'2021年住培'!$A:$K,11,0)</f>
        <v>126</v>
      </c>
      <c r="N69" s="201">
        <f>L69-M69</f>
        <v>16.5</v>
      </c>
      <c r="O69" s="201"/>
      <c r="P69" s="201">
        <f>ROUND(H69+N69+O69,2)</f>
        <v>49.5</v>
      </c>
    </row>
    <row r="70" spans="1:16" s="192" customFormat="1" ht="27" customHeight="1">
      <c r="A70" s="291" t="s">
        <v>159</v>
      </c>
      <c r="B70" s="292"/>
      <c r="C70" s="292"/>
      <c r="D70" s="292"/>
      <c r="E70" s="292"/>
      <c r="F70" s="292"/>
      <c r="G70" s="292"/>
      <c r="H70" s="293"/>
      <c r="I70" s="211">
        <f>VLOOKUP(A70,'[1]住培'!$A:$B,2,0)</f>
        <v>0</v>
      </c>
      <c r="J70" s="237">
        <f>VLOOKUP(A70,'[1]住培'!$A:$C,3,0)</f>
        <v>0</v>
      </c>
      <c r="K70" s="237">
        <f>VLOOKUP(A70,'[1]住培'!$A:$D,4,0)</f>
        <v>2</v>
      </c>
      <c r="L70" s="293">
        <f>(I70+J70+K70)*1.5</f>
        <v>3</v>
      </c>
      <c r="M70" s="205">
        <f>VLOOKUP(A70,'[1]住培'!$A:$F,6,0)</f>
        <v>0</v>
      </c>
      <c r="N70" s="201">
        <f>L70-M70</f>
        <v>3</v>
      </c>
      <c r="O70" s="201"/>
      <c r="P70" s="201">
        <f>ROUND(H70+N70+O70,2)</f>
        <v>3</v>
      </c>
    </row>
    <row r="71" spans="1:16" s="192" customFormat="1" ht="27" customHeight="1">
      <c r="A71" s="288" t="s">
        <v>47</v>
      </c>
      <c r="B71" s="289">
        <f aca="true" t="shared" si="27" ref="B71:H71">SUM(B72:B77)</f>
        <v>157</v>
      </c>
      <c r="C71" s="289">
        <f t="shared" si="27"/>
        <v>217</v>
      </c>
      <c r="D71" s="289">
        <f t="shared" si="27"/>
        <v>80</v>
      </c>
      <c r="E71" s="289">
        <f t="shared" si="27"/>
        <v>155</v>
      </c>
      <c r="F71" s="289">
        <f t="shared" si="27"/>
        <v>217</v>
      </c>
      <c r="G71" s="289">
        <f t="shared" si="27"/>
        <v>209</v>
      </c>
      <c r="H71" s="290">
        <f t="shared" si="27"/>
        <v>190.5</v>
      </c>
      <c r="I71" s="302">
        <f aca="true" t="shared" si="28" ref="I71:N71">SUM(I72:I77)</f>
        <v>208</v>
      </c>
      <c r="J71" s="302">
        <f t="shared" si="28"/>
        <v>207</v>
      </c>
      <c r="K71" s="302">
        <f t="shared" si="28"/>
        <v>234</v>
      </c>
      <c r="L71" s="303">
        <f t="shared" si="28"/>
        <v>973.5</v>
      </c>
      <c r="M71" s="303">
        <f t="shared" si="28"/>
        <v>891</v>
      </c>
      <c r="N71" s="303">
        <f t="shared" si="28"/>
        <v>82.5</v>
      </c>
      <c r="O71" s="303"/>
      <c r="P71" s="303">
        <f>SUM(P72:P77)</f>
        <v>273</v>
      </c>
    </row>
    <row r="72" spans="1:16" s="192" customFormat="1" ht="27" customHeight="1">
      <c r="A72" s="291" t="s">
        <v>160</v>
      </c>
      <c r="B72" s="292">
        <v>65</v>
      </c>
      <c r="C72" s="292">
        <v>108</v>
      </c>
      <c r="D72" s="292">
        <v>40</v>
      </c>
      <c r="E72" s="292">
        <v>65</v>
      </c>
      <c r="F72" s="292">
        <v>108</v>
      </c>
      <c r="G72" s="292">
        <v>96</v>
      </c>
      <c r="H72" s="205">
        <f aca="true" t="shared" si="29" ref="H72:H77">((E72+F72+G72)-(B72+C72+D72))*1.5</f>
        <v>84</v>
      </c>
      <c r="I72" s="211">
        <v>104</v>
      </c>
      <c r="J72" s="237">
        <v>95</v>
      </c>
      <c r="K72" s="237">
        <v>80</v>
      </c>
      <c r="L72" s="293">
        <f aca="true" t="shared" si="30" ref="L72:L77">(I72+J72+K72)*1.5</f>
        <v>418.5</v>
      </c>
      <c r="M72" s="205">
        <f>VLOOKUP(A72,'2021年住培'!$A:$K,11,0)</f>
        <v>459</v>
      </c>
      <c r="N72" s="201">
        <f aca="true" t="shared" si="31" ref="N72:N77">L72-M72</f>
        <v>-40.5</v>
      </c>
      <c r="O72" s="201"/>
      <c r="P72" s="201">
        <f aca="true" t="shared" si="32" ref="P72:P77">ROUND(H72+N72+O72,2)</f>
        <v>43.5</v>
      </c>
    </row>
    <row r="73" spans="1:16" s="192" customFormat="1" ht="27" customHeight="1">
      <c r="A73" s="291" t="s">
        <v>161</v>
      </c>
      <c r="B73" s="294">
        <v>31</v>
      </c>
      <c r="C73" s="294">
        <v>53</v>
      </c>
      <c r="D73" s="294">
        <v>20</v>
      </c>
      <c r="E73" s="292">
        <v>29</v>
      </c>
      <c r="F73" s="292">
        <v>53</v>
      </c>
      <c r="G73" s="292">
        <v>63</v>
      </c>
      <c r="H73" s="205">
        <f t="shared" si="29"/>
        <v>61.5</v>
      </c>
      <c r="I73" s="211">
        <v>48</v>
      </c>
      <c r="J73" s="237">
        <v>62</v>
      </c>
      <c r="K73" s="237">
        <v>38</v>
      </c>
      <c r="L73" s="293">
        <f t="shared" si="30"/>
        <v>222</v>
      </c>
      <c r="M73" s="205">
        <f>VLOOKUP(A73,'2021年住培'!$A:$K,11,0)</f>
        <v>204</v>
      </c>
      <c r="N73" s="201">
        <f t="shared" si="31"/>
        <v>18</v>
      </c>
      <c r="O73" s="201"/>
      <c r="P73" s="201">
        <f t="shared" si="32"/>
        <v>79.5</v>
      </c>
    </row>
    <row r="74" spans="1:16" s="192" customFormat="1" ht="27" customHeight="1">
      <c r="A74" s="291" t="s">
        <v>162</v>
      </c>
      <c r="B74" s="292"/>
      <c r="C74" s="292"/>
      <c r="D74" s="292"/>
      <c r="E74" s="292"/>
      <c r="F74" s="292"/>
      <c r="G74" s="292"/>
      <c r="H74" s="293"/>
      <c r="I74" s="211"/>
      <c r="J74" s="237"/>
      <c r="K74" s="237">
        <v>38</v>
      </c>
      <c r="L74" s="293">
        <f t="shared" si="30"/>
        <v>57</v>
      </c>
      <c r="M74" s="205">
        <v>0</v>
      </c>
      <c r="N74" s="201">
        <f t="shared" si="31"/>
        <v>57</v>
      </c>
      <c r="O74" s="201"/>
      <c r="P74" s="201">
        <f t="shared" si="32"/>
        <v>57</v>
      </c>
    </row>
    <row r="75" spans="1:16" s="192" customFormat="1" ht="27" customHeight="1">
      <c r="A75" s="291" t="s">
        <v>163</v>
      </c>
      <c r="B75" s="292"/>
      <c r="C75" s="292"/>
      <c r="D75" s="292"/>
      <c r="E75" s="292"/>
      <c r="F75" s="292"/>
      <c r="G75" s="292"/>
      <c r="H75" s="293"/>
      <c r="I75" s="211"/>
      <c r="J75" s="237"/>
      <c r="K75" s="237">
        <f>VLOOKUP(A75,'[1]住培'!$A:$D,4,0)</f>
        <v>13</v>
      </c>
      <c r="L75" s="293">
        <f t="shared" si="30"/>
        <v>19.5</v>
      </c>
      <c r="M75" s="205">
        <f>VLOOKUP(A75,'[1]住培'!$A:$F,6,0)</f>
        <v>0</v>
      </c>
      <c r="N75" s="201">
        <f t="shared" si="31"/>
        <v>19.5</v>
      </c>
      <c r="O75" s="201"/>
      <c r="P75" s="201">
        <f t="shared" si="32"/>
        <v>19.5</v>
      </c>
    </row>
    <row r="76" spans="1:16" s="192" customFormat="1" ht="27" customHeight="1">
      <c r="A76" s="291" t="s">
        <v>164</v>
      </c>
      <c r="B76" s="292"/>
      <c r="C76" s="292"/>
      <c r="D76" s="292"/>
      <c r="E76" s="292"/>
      <c r="F76" s="292"/>
      <c r="G76" s="292"/>
      <c r="H76" s="293"/>
      <c r="I76" s="211"/>
      <c r="J76" s="237"/>
      <c r="K76" s="237">
        <f>VLOOKUP(A76,'[1]住培'!$A:$D,4,0)</f>
        <v>8</v>
      </c>
      <c r="L76" s="293">
        <f t="shared" si="30"/>
        <v>12</v>
      </c>
      <c r="M76" s="205">
        <f>VLOOKUP(A76,'[1]住培'!$A:$F,6,0)</f>
        <v>0</v>
      </c>
      <c r="N76" s="201">
        <f t="shared" si="31"/>
        <v>12</v>
      </c>
      <c r="O76" s="201"/>
      <c r="P76" s="201">
        <f t="shared" si="32"/>
        <v>12</v>
      </c>
    </row>
    <row r="77" spans="1:16" s="192" customFormat="1" ht="27" customHeight="1">
      <c r="A77" s="291" t="s">
        <v>165</v>
      </c>
      <c r="B77" s="292">
        <v>61</v>
      </c>
      <c r="C77" s="292">
        <v>56</v>
      </c>
      <c r="D77" s="292">
        <v>20</v>
      </c>
      <c r="E77" s="292">
        <v>61</v>
      </c>
      <c r="F77" s="292">
        <v>56</v>
      </c>
      <c r="G77" s="292">
        <v>50</v>
      </c>
      <c r="H77" s="205">
        <f t="shared" si="29"/>
        <v>45</v>
      </c>
      <c r="I77" s="211">
        <f>VLOOKUP(A77,'[1]住培'!$A:$B,2,0)</f>
        <v>56</v>
      </c>
      <c r="J77" s="237">
        <f>VLOOKUP(A77,'[1]住培'!$A:$C,3,0)</f>
        <v>50</v>
      </c>
      <c r="K77" s="237">
        <f>VLOOKUP(A77,'[1]住培'!$A:$D,4,0)</f>
        <v>57</v>
      </c>
      <c r="L77" s="293">
        <f t="shared" si="30"/>
        <v>244.5</v>
      </c>
      <c r="M77" s="205">
        <f>VLOOKUP(A77,'2021年住培'!$A:$K,11,0)</f>
        <v>228</v>
      </c>
      <c r="N77" s="201">
        <f t="shared" si="31"/>
        <v>16.5</v>
      </c>
      <c r="O77" s="201"/>
      <c r="P77" s="201">
        <f t="shared" si="32"/>
        <v>61.5</v>
      </c>
    </row>
    <row r="78" spans="1:16" s="192" customFormat="1" ht="27" customHeight="1">
      <c r="A78" s="288" t="s">
        <v>48</v>
      </c>
      <c r="B78" s="289">
        <f aca="true" t="shared" si="33" ref="B78:H78">B79</f>
        <v>33</v>
      </c>
      <c r="C78" s="289">
        <f t="shared" si="33"/>
        <v>38</v>
      </c>
      <c r="D78" s="289">
        <f t="shared" si="33"/>
        <v>20</v>
      </c>
      <c r="E78" s="289">
        <f t="shared" si="33"/>
        <v>33</v>
      </c>
      <c r="F78" s="289">
        <f t="shared" si="33"/>
        <v>38</v>
      </c>
      <c r="G78" s="289">
        <f t="shared" si="33"/>
        <v>44</v>
      </c>
      <c r="H78" s="290">
        <f t="shared" si="33"/>
        <v>36</v>
      </c>
      <c r="I78" s="302">
        <f aca="true" t="shared" si="34" ref="I78:N78">I79+I80</f>
        <v>37</v>
      </c>
      <c r="J78" s="302">
        <f t="shared" si="34"/>
        <v>44</v>
      </c>
      <c r="K78" s="302">
        <f t="shared" si="34"/>
        <v>28</v>
      </c>
      <c r="L78" s="303">
        <f t="shared" si="34"/>
        <v>163.5</v>
      </c>
      <c r="M78" s="303">
        <f t="shared" si="34"/>
        <v>159</v>
      </c>
      <c r="N78" s="303">
        <f t="shared" si="34"/>
        <v>4.5</v>
      </c>
      <c r="O78" s="303"/>
      <c r="P78" s="303">
        <f>P79+P80</f>
        <v>40.5</v>
      </c>
    </row>
    <row r="79" spans="1:16" s="192" customFormat="1" ht="27" customHeight="1">
      <c r="A79" s="291" t="s">
        <v>166</v>
      </c>
      <c r="B79" s="292">
        <v>33</v>
      </c>
      <c r="C79" s="292">
        <v>38</v>
      </c>
      <c r="D79" s="292">
        <v>20</v>
      </c>
      <c r="E79" s="292">
        <v>33</v>
      </c>
      <c r="F79" s="292">
        <v>38</v>
      </c>
      <c r="G79" s="292">
        <v>44</v>
      </c>
      <c r="H79" s="205">
        <f aca="true" t="shared" si="35" ref="H79:H84">((E79+F79+G79)-(B79+C79+D79))*1.5</f>
        <v>36</v>
      </c>
      <c r="I79" s="211">
        <v>37</v>
      </c>
      <c r="J79" s="237">
        <v>44</v>
      </c>
      <c r="K79" s="237">
        <v>28</v>
      </c>
      <c r="L79" s="293">
        <f aca="true" t="shared" si="36" ref="L79:L85">(I79+J79+K79)*1.5</f>
        <v>163.5</v>
      </c>
      <c r="M79" s="205">
        <f>VLOOKUP(A79,'2021年住培'!$A:$K,11,0)</f>
        <v>159</v>
      </c>
      <c r="N79" s="201">
        <f>L79-M79</f>
        <v>4.5</v>
      </c>
      <c r="O79" s="201"/>
      <c r="P79" s="201">
        <f>ROUND(H79+N79+O79,2)</f>
        <v>40.5</v>
      </c>
    </row>
    <row r="80" spans="1:16" s="192" customFormat="1" ht="27" customHeight="1">
      <c r="A80" s="291" t="s">
        <v>167</v>
      </c>
      <c r="B80" s="292"/>
      <c r="C80" s="292"/>
      <c r="D80" s="292"/>
      <c r="E80" s="292"/>
      <c r="F80" s="292"/>
      <c r="G80" s="292"/>
      <c r="H80" s="293"/>
      <c r="I80" s="211"/>
      <c r="J80" s="237"/>
      <c r="K80" s="237">
        <v>0</v>
      </c>
      <c r="L80" s="293">
        <v>0</v>
      </c>
      <c r="M80" s="205">
        <v>0</v>
      </c>
      <c r="N80" s="201">
        <f>L80-M80</f>
        <v>0</v>
      </c>
      <c r="O80" s="201"/>
      <c r="P80" s="201">
        <f>ROUND(H80+N80+O80,2)</f>
        <v>0</v>
      </c>
    </row>
    <row r="81" spans="1:16" s="192" customFormat="1" ht="27" customHeight="1">
      <c r="A81" s="288" t="s">
        <v>50</v>
      </c>
      <c r="B81" s="289">
        <f aca="true" t="shared" si="37" ref="B81:H81">B82</f>
        <v>61</v>
      </c>
      <c r="C81" s="289">
        <f t="shared" si="37"/>
        <v>40</v>
      </c>
      <c r="D81" s="289">
        <f t="shared" si="37"/>
        <v>20</v>
      </c>
      <c r="E81" s="289">
        <f t="shared" si="37"/>
        <v>57</v>
      </c>
      <c r="F81" s="289">
        <f t="shared" si="37"/>
        <v>40</v>
      </c>
      <c r="G81" s="289">
        <f t="shared" si="37"/>
        <v>45</v>
      </c>
      <c r="H81" s="290">
        <f t="shared" si="37"/>
        <v>31.5</v>
      </c>
      <c r="I81" s="302">
        <f aca="true" t="shared" si="38" ref="I81:N81">I82</f>
        <v>40</v>
      </c>
      <c r="J81" s="302">
        <f t="shared" si="38"/>
        <v>45</v>
      </c>
      <c r="K81" s="302">
        <f t="shared" si="38"/>
        <v>42</v>
      </c>
      <c r="L81" s="303">
        <f t="shared" si="38"/>
        <v>190.5</v>
      </c>
      <c r="M81" s="303">
        <f t="shared" si="38"/>
        <v>165</v>
      </c>
      <c r="N81" s="303">
        <f t="shared" si="38"/>
        <v>25.5</v>
      </c>
      <c r="O81" s="303"/>
      <c r="P81" s="303">
        <f>P82</f>
        <v>57</v>
      </c>
    </row>
    <row r="82" spans="1:16" s="192" customFormat="1" ht="27" customHeight="1">
      <c r="A82" s="291" t="s">
        <v>168</v>
      </c>
      <c r="B82" s="292">
        <v>61</v>
      </c>
      <c r="C82" s="292">
        <v>40</v>
      </c>
      <c r="D82" s="292">
        <v>20</v>
      </c>
      <c r="E82" s="294">
        <v>57</v>
      </c>
      <c r="F82" s="291">
        <v>40</v>
      </c>
      <c r="G82" s="237">
        <v>45</v>
      </c>
      <c r="H82" s="205">
        <f t="shared" si="35"/>
        <v>31.5</v>
      </c>
      <c r="I82" s="211">
        <v>40</v>
      </c>
      <c r="J82" s="237">
        <v>45</v>
      </c>
      <c r="K82" s="237">
        <v>42</v>
      </c>
      <c r="L82" s="293">
        <f t="shared" si="36"/>
        <v>190.5</v>
      </c>
      <c r="M82" s="205">
        <f>VLOOKUP(A82,'2021年住培'!$A:$K,11,0)</f>
        <v>165</v>
      </c>
      <c r="N82" s="201">
        <f>L82-M82</f>
        <v>25.5</v>
      </c>
      <c r="O82" s="201"/>
      <c r="P82" s="201">
        <f>ROUND(H82+N82+O82,2)</f>
        <v>57</v>
      </c>
    </row>
    <row r="83" spans="1:16" s="192" customFormat="1" ht="27" customHeight="1">
      <c r="A83" s="288" t="s">
        <v>51</v>
      </c>
      <c r="B83" s="289">
        <f aca="true" t="shared" si="39" ref="B83:H83">B84</f>
        <v>23</v>
      </c>
      <c r="C83" s="289">
        <f t="shared" si="39"/>
        <v>17</v>
      </c>
      <c r="D83" s="289">
        <f t="shared" si="39"/>
        <v>15</v>
      </c>
      <c r="E83" s="289">
        <f t="shared" si="39"/>
        <v>21</v>
      </c>
      <c r="F83" s="289">
        <f t="shared" si="39"/>
        <v>17</v>
      </c>
      <c r="G83" s="289">
        <f t="shared" si="39"/>
        <v>20</v>
      </c>
      <c r="H83" s="290">
        <f t="shared" si="39"/>
        <v>4.5</v>
      </c>
      <c r="I83" s="302">
        <f aca="true" t="shared" si="40" ref="I83:N83">I84+I85</f>
        <v>16</v>
      </c>
      <c r="J83" s="302">
        <f t="shared" si="40"/>
        <v>20</v>
      </c>
      <c r="K83" s="302">
        <f t="shared" si="40"/>
        <v>25</v>
      </c>
      <c r="L83" s="303">
        <f t="shared" si="40"/>
        <v>91.5</v>
      </c>
      <c r="M83" s="303">
        <f t="shared" si="40"/>
        <v>66</v>
      </c>
      <c r="N83" s="303">
        <f t="shared" si="40"/>
        <v>25.5</v>
      </c>
      <c r="O83" s="303"/>
      <c r="P83" s="303">
        <f>P84+P85</f>
        <v>30</v>
      </c>
    </row>
    <row r="84" spans="1:16" s="192" customFormat="1" ht="27" customHeight="1">
      <c r="A84" s="291" t="s">
        <v>169</v>
      </c>
      <c r="B84" s="292">
        <v>23</v>
      </c>
      <c r="C84" s="292">
        <v>17</v>
      </c>
      <c r="D84" s="292">
        <v>15</v>
      </c>
      <c r="E84" s="292">
        <v>21</v>
      </c>
      <c r="F84" s="292">
        <v>17</v>
      </c>
      <c r="G84" s="292">
        <v>20</v>
      </c>
      <c r="H84" s="205">
        <f t="shared" si="35"/>
        <v>4.5</v>
      </c>
      <c r="I84" s="211">
        <v>16</v>
      </c>
      <c r="J84" s="237">
        <v>20</v>
      </c>
      <c r="K84" s="237">
        <v>22</v>
      </c>
      <c r="L84" s="293">
        <f t="shared" si="36"/>
        <v>87</v>
      </c>
      <c r="M84" s="205">
        <f>VLOOKUP(A84,'2021年住培'!$A:$K,11,0)</f>
        <v>66</v>
      </c>
      <c r="N84" s="201">
        <f aca="true" t="shared" si="41" ref="N84:N89">L84-M84</f>
        <v>21</v>
      </c>
      <c r="O84" s="201"/>
      <c r="P84" s="201">
        <f aca="true" t="shared" si="42" ref="P84:P89">ROUND(H84+N84+O84,2)</f>
        <v>25.5</v>
      </c>
    </row>
    <row r="85" spans="1:16" s="192" customFormat="1" ht="27" customHeight="1">
      <c r="A85" s="291" t="s">
        <v>170</v>
      </c>
      <c r="B85" s="292"/>
      <c r="C85" s="292"/>
      <c r="D85" s="292"/>
      <c r="E85" s="292"/>
      <c r="F85" s="292"/>
      <c r="G85" s="292"/>
      <c r="H85" s="293"/>
      <c r="I85" s="211"/>
      <c r="J85" s="237"/>
      <c r="K85" s="237">
        <f>VLOOKUP(A85,'[1]住培'!$A:$D,4,0)</f>
        <v>3</v>
      </c>
      <c r="L85" s="293">
        <f t="shared" si="36"/>
        <v>4.5</v>
      </c>
      <c r="M85" s="205">
        <f>VLOOKUP(A85,'[1]住培'!$A:$F,6,0)</f>
        <v>0</v>
      </c>
      <c r="N85" s="201">
        <f t="shared" si="41"/>
        <v>4.5</v>
      </c>
      <c r="O85" s="201"/>
      <c r="P85" s="201">
        <f t="shared" si="42"/>
        <v>4.5</v>
      </c>
    </row>
    <row r="86" spans="1:16" s="192" customFormat="1" ht="27" customHeight="1">
      <c r="A86" s="288" t="s">
        <v>53</v>
      </c>
      <c r="B86" s="289">
        <f aca="true" t="shared" si="43" ref="B86:H86">B87+B88+B89</f>
        <v>86</v>
      </c>
      <c r="C86" s="289">
        <f t="shared" si="43"/>
        <v>187</v>
      </c>
      <c r="D86" s="289">
        <f t="shared" si="43"/>
        <v>70</v>
      </c>
      <c r="E86" s="289">
        <f t="shared" si="43"/>
        <v>81</v>
      </c>
      <c r="F86" s="289">
        <f t="shared" si="43"/>
        <v>187</v>
      </c>
      <c r="G86" s="289">
        <f t="shared" si="43"/>
        <v>182</v>
      </c>
      <c r="H86" s="290">
        <f t="shared" si="43"/>
        <v>160.5</v>
      </c>
      <c r="I86" s="302">
        <f aca="true" t="shared" si="44" ref="I86:N86">SUM(I87:I89)</f>
        <v>184</v>
      </c>
      <c r="J86" s="302">
        <f t="shared" si="44"/>
        <v>181</v>
      </c>
      <c r="K86" s="302">
        <f t="shared" si="44"/>
        <v>188</v>
      </c>
      <c r="L86" s="303">
        <f t="shared" si="44"/>
        <v>829.5</v>
      </c>
      <c r="M86" s="303">
        <f t="shared" si="44"/>
        <v>786</v>
      </c>
      <c r="N86" s="303">
        <f t="shared" si="44"/>
        <v>43.5</v>
      </c>
      <c r="O86" s="303"/>
      <c r="P86" s="303">
        <f>SUM(P87:P89)</f>
        <v>204</v>
      </c>
    </row>
    <row r="87" spans="1:16" s="192" customFormat="1" ht="27" customHeight="1">
      <c r="A87" s="291" t="s">
        <v>171</v>
      </c>
      <c r="B87" s="292">
        <v>41</v>
      </c>
      <c r="C87" s="292">
        <v>85</v>
      </c>
      <c r="D87" s="292">
        <v>30</v>
      </c>
      <c r="E87" s="292">
        <v>35</v>
      </c>
      <c r="F87" s="292">
        <v>85</v>
      </c>
      <c r="G87" s="292">
        <v>91</v>
      </c>
      <c r="H87" s="205">
        <f>((E87+F87+G87)-(B87+C87+D87))*1.5</f>
        <v>82.5</v>
      </c>
      <c r="I87" s="211">
        <v>83</v>
      </c>
      <c r="J87" s="237">
        <v>91</v>
      </c>
      <c r="K87" s="237">
        <v>87</v>
      </c>
      <c r="L87" s="293">
        <f>(I87+J87+K87)*1.5</f>
        <v>391.5</v>
      </c>
      <c r="M87" s="205">
        <f>VLOOKUP(A87,'2021年住培'!$A:$K,11,0)</f>
        <v>360</v>
      </c>
      <c r="N87" s="201">
        <f t="shared" si="41"/>
        <v>31.5</v>
      </c>
      <c r="O87" s="201"/>
      <c r="P87" s="201">
        <f t="shared" si="42"/>
        <v>114</v>
      </c>
    </row>
    <row r="88" spans="1:16" s="192" customFormat="1" ht="27" customHeight="1">
      <c r="A88" s="291" t="s">
        <v>172</v>
      </c>
      <c r="B88" s="292">
        <v>7</v>
      </c>
      <c r="C88" s="292">
        <v>40</v>
      </c>
      <c r="D88" s="292">
        <v>20</v>
      </c>
      <c r="E88" s="292">
        <v>8</v>
      </c>
      <c r="F88" s="292">
        <v>40</v>
      </c>
      <c r="G88" s="292">
        <v>48</v>
      </c>
      <c r="H88" s="205">
        <f>((E88+F88+G88)-(B88+C88+D88))*1.5</f>
        <v>43.5</v>
      </c>
      <c r="I88" s="211">
        <v>39</v>
      </c>
      <c r="J88" s="237">
        <v>47</v>
      </c>
      <c r="K88" s="237">
        <v>52</v>
      </c>
      <c r="L88" s="293">
        <f>(I88+J88+K88)*1.5</f>
        <v>207</v>
      </c>
      <c r="M88" s="205">
        <f>VLOOKUP(A88,'2021年住培'!$A:$K,11,0)</f>
        <v>165</v>
      </c>
      <c r="N88" s="201">
        <f t="shared" si="41"/>
        <v>42</v>
      </c>
      <c r="O88" s="201"/>
      <c r="P88" s="201">
        <f t="shared" si="42"/>
        <v>85.5</v>
      </c>
    </row>
    <row r="89" spans="1:16" s="192" customFormat="1" ht="27" customHeight="1">
      <c r="A89" s="291" t="s">
        <v>173</v>
      </c>
      <c r="B89" s="292">
        <v>38</v>
      </c>
      <c r="C89" s="292">
        <v>62</v>
      </c>
      <c r="D89" s="292">
        <v>20</v>
      </c>
      <c r="E89" s="292">
        <v>38</v>
      </c>
      <c r="F89" s="292">
        <v>62</v>
      </c>
      <c r="G89" s="292">
        <v>43</v>
      </c>
      <c r="H89" s="205">
        <f>((E89+F89+G89)-(B89+C89+D89))*1.5</f>
        <v>34.5</v>
      </c>
      <c r="I89" s="211">
        <f>VLOOKUP(A89,'[1]住培'!$A:$B,2,0)</f>
        <v>62</v>
      </c>
      <c r="J89" s="237">
        <f>VLOOKUP(A89,'[1]住培'!$A:$C,3,0)</f>
        <v>43</v>
      </c>
      <c r="K89" s="237">
        <f>VLOOKUP(A89,'[1]住培'!$A:$D,4,0)</f>
        <v>49</v>
      </c>
      <c r="L89" s="293">
        <f>(I89+J89+K89)*1.5</f>
        <v>231</v>
      </c>
      <c r="M89" s="205">
        <f>VLOOKUP(A89,'2021年住培'!$A:$K,11,0)</f>
        <v>261</v>
      </c>
      <c r="N89" s="201">
        <f t="shared" si="41"/>
        <v>-30</v>
      </c>
      <c r="O89" s="201"/>
      <c r="P89" s="201">
        <f t="shared" si="42"/>
        <v>4.5</v>
      </c>
    </row>
    <row r="90" spans="1:16" s="192" customFormat="1" ht="27" customHeight="1">
      <c r="A90" s="288" t="s">
        <v>54</v>
      </c>
      <c r="B90" s="289">
        <f aca="true" t="shared" si="45" ref="B90:H90">B91+B92</f>
        <v>97</v>
      </c>
      <c r="C90" s="289">
        <f t="shared" si="45"/>
        <v>135</v>
      </c>
      <c r="D90" s="289">
        <f t="shared" si="45"/>
        <v>80</v>
      </c>
      <c r="E90" s="289">
        <f t="shared" si="45"/>
        <v>93</v>
      </c>
      <c r="F90" s="289">
        <f t="shared" si="45"/>
        <v>135</v>
      </c>
      <c r="G90" s="289">
        <f t="shared" si="45"/>
        <v>122</v>
      </c>
      <c r="H90" s="290">
        <f t="shared" si="45"/>
        <v>57</v>
      </c>
      <c r="I90" s="302">
        <f aca="true" t="shared" si="46" ref="I90:N90">I91+I92</f>
        <v>130</v>
      </c>
      <c r="J90" s="302">
        <f t="shared" si="46"/>
        <v>121</v>
      </c>
      <c r="K90" s="302">
        <f t="shared" si="46"/>
        <v>145</v>
      </c>
      <c r="L90" s="303">
        <f t="shared" si="46"/>
        <v>594</v>
      </c>
      <c r="M90" s="303">
        <f t="shared" si="46"/>
        <v>570</v>
      </c>
      <c r="N90" s="303">
        <f t="shared" si="46"/>
        <v>24</v>
      </c>
      <c r="O90" s="303"/>
      <c r="P90" s="303">
        <f>P91+P92</f>
        <v>81</v>
      </c>
    </row>
    <row r="91" spans="1:16" s="192" customFormat="1" ht="27" customHeight="1">
      <c r="A91" s="291" t="s">
        <v>174</v>
      </c>
      <c r="B91" s="292">
        <v>46</v>
      </c>
      <c r="C91" s="292">
        <v>71</v>
      </c>
      <c r="D91" s="292">
        <v>40</v>
      </c>
      <c r="E91" s="292">
        <v>42</v>
      </c>
      <c r="F91" s="292">
        <v>71</v>
      </c>
      <c r="G91" s="292">
        <v>91</v>
      </c>
      <c r="H91" s="205">
        <f>((E91+F91+G91)-(B91+C91+D91))*1.5</f>
        <v>70.5</v>
      </c>
      <c r="I91" s="211">
        <v>66</v>
      </c>
      <c r="J91" s="237">
        <v>90</v>
      </c>
      <c r="K91" s="237">
        <v>101</v>
      </c>
      <c r="L91" s="293">
        <f>(I91+J91+K91)*1.5</f>
        <v>385.5</v>
      </c>
      <c r="M91" s="205">
        <f>VLOOKUP(A91,'2021年住培'!$A:$K,11,0)</f>
        <v>303</v>
      </c>
      <c r="N91" s="201">
        <f>L91-M91</f>
        <v>82.5</v>
      </c>
      <c r="O91" s="201"/>
      <c r="P91" s="201">
        <f>ROUND(H91+N91+O91,2)</f>
        <v>153</v>
      </c>
    </row>
    <row r="92" spans="1:16" s="192" customFormat="1" ht="27" customHeight="1">
      <c r="A92" s="291" t="s">
        <v>175</v>
      </c>
      <c r="B92" s="292">
        <v>51</v>
      </c>
      <c r="C92" s="292">
        <v>64</v>
      </c>
      <c r="D92" s="292">
        <v>40</v>
      </c>
      <c r="E92" s="292">
        <v>51</v>
      </c>
      <c r="F92" s="292">
        <v>64</v>
      </c>
      <c r="G92" s="292">
        <v>31</v>
      </c>
      <c r="H92" s="205">
        <f>((E92+F92+G92)-(B92+C92+D92))*1.5</f>
        <v>-13.5</v>
      </c>
      <c r="I92" s="211">
        <f>VLOOKUP(A92,'[1]住培'!$A:$B,2,0)</f>
        <v>64</v>
      </c>
      <c r="J92" s="237">
        <f>VLOOKUP(A92,'[1]住培'!$A:$C,3,0)</f>
        <v>31</v>
      </c>
      <c r="K92" s="237">
        <f>VLOOKUP(A92,'[1]住培'!$A:$D,4,0)</f>
        <v>44</v>
      </c>
      <c r="L92" s="293">
        <f>(I92+J92+K92)*1.5</f>
        <v>208.5</v>
      </c>
      <c r="M92" s="205">
        <f>VLOOKUP(A92,'2021年住培'!$A:$K,11,0)</f>
        <v>267</v>
      </c>
      <c r="N92" s="201">
        <f>L92-M92</f>
        <v>-58.5</v>
      </c>
      <c r="O92" s="201"/>
      <c r="P92" s="201">
        <f>ROUND(H92+N92+O92,2)</f>
        <v>-72</v>
      </c>
    </row>
    <row r="93" spans="1:16" s="192" customFormat="1" ht="27" customHeight="1">
      <c r="A93" s="288" t="s">
        <v>55</v>
      </c>
      <c r="B93" s="289">
        <f aca="true" t="shared" si="47" ref="B93:H93">B94+B95</f>
        <v>75</v>
      </c>
      <c r="C93" s="289">
        <f t="shared" si="47"/>
        <v>54</v>
      </c>
      <c r="D93" s="289">
        <f t="shared" si="47"/>
        <v>50</v>
      </c>
      <c r="E93" s="289">
        <f t="shared" si="47"/>
        <v>68</v>
      </c>
      <c r="F93" s="289">
        <f t="shared" si="47"/>
        <v>54</v>
      </c>
      <c r="G93" s="289">
        <f t="shared" si="47"/>
        <v>68</v>
      </c>
      <c r="H93" s="290">
        <f t="shared" si="47"/>
        <v>16.5</v>
      </c>
      <c r="I93" s="302">
        <f aca="true" t="shared" si="48" ref="I93:N93">I94+I95</f>
        <v>53</v>
      </c>
      <c r="J93" s="302">
        <f t="shared" si="48"/>
        <v>68</v>
      </c>
      <c r="K93" s="302">
        <f t="shared" si="48"/>
        <v>59</v>
      </c>
      <c r="L93" s="303">
        <f t="shared" si="48"/>
        <v>270</v>
      </c>
      <c r="M93" s="303">
        <f t="shared" si="48"/>
        <v>229.5</v>
      </c>
      <c r="N93" s="303">
        <f t="shared" si="48"/>
        <v>40.5</v>
      </c>
      <c r="O93" s="303"/>
      <c r="P93" s="303">
        <f>P94+P95</f>
        <v>57</v>
      </c>
    </row>
    <row r="94" spans="1:16" s="192" customFormat="1" ht="27" customHeight="1">
      <c r="A94" s="291" t="s">
        <v>176</v>
      </c>
      <c r="B94" s="292">
        <v>62</v>
      </c>
      <c r="C94" s="292">
        <v>37</v>
      </c>
      <c r="D94" s="292">
        <v>30</v>
      </c>
      <c r="E94" s="292">
        <v>55</v>
      </c>
      <c r="F94" s="292">
        <v>37</v>
      </c>
      <c r="G94" s="292">
        <v>53</v>
      </c>
      <c r="H94" s="205">
        <f>((E94+F94+G94)-(B94+C94+D94))*1.5</f>
        <v>24</v>
      </c>
      <c r="I94" s="211">
        <v>36</v>
      </c>
      <c r="J94" s="237">
        <v>53</v>
      </c>
      <c r="K94" s="237">
        <v>47</v>
      </c>
      <c r="L94" s="293">
        <f>(I94+J94+K94)*1.5</f>
        <v>204</v>
      </c>
      <c r="M94" s="205">
        <f>VLOOKUP(A94,'2021年住培'!$A:$K,11,0)</f>
        <v>156</v>
      </c>
      <c r="N94" s="201">
        <f>L94-M94</f>
        <v>48</v>
      </c>
      <c r="O94" s="201"/>
      <c r="P94" s="201">
        <f>ROUND(H94+N94+O94,2)</f>
        <v>72</v>
      </c>
    </row>
    <row r="95" spans="1:16" s="192" customFormat="1" ht="27" customHeight="1">
      <c r="A95" s="291" t="s">
        <v>177</v>
      </c>
      <c r="B95" s="292">
        <v>13</v>
      </c>
      <c r="C95" s="292">
        <v>17</v>
      </c>
      <c r="D95" s="292">
        <v>20</v>
      </c>
      <c r="E95" s="292">
        <v>13</v>
      </c>
      <c r="F95" s="292">
        <v>17</v>
      </c>
      <c r="G95" s="292">
        <v>15</v>
      </c>
      <c r="H95" s="205">
        <f>((E95+F95+G95)-(B95+C95+D95))*1.5</f>
        <v>-7.5</v>
      </c>
      <c r="I95" s="211">
        <f>VLOOKUP(A95,'[1]住培'!$A:$B,2,0)</f>
        <v>17</v>
      </c>
      <c r="J95" s="237">
        <f>VLOOKUP(A95,'[1]住培'!$A:$C,3,0)</f>
        <v>15</v>
      </c>
      <c r="K95" s="237">
        <f>VLOOKUP(A95,'[1]住培'!$A:$D,4,0)</f>
        <v>12</v>
      </c>
      <c r="L95" s="293">
        <f>(I95+J95+K95)*1.5</f>
        <v>66</v>
      </c>
      <c r="M95" s="205">
        <f>VLOOKUP(A95,'2021年住培'!$A:$K,11,0)</f>
        <v>73.5</v>
      </c>
      <c r="N95" s="201">
        <f>L95-M95</f>
        <v>-7.5</v>
      </c>
      <c r="O95" s="201"/>
      <c r="P95" s="201">
        <f>ROUND(H95+N95+O95,2)</f>
        <v>-15</v>
      </c>
    </row>
    <row r="96" spans="1:16" s="192" customFormat="1" ht="27" customHeight="1">
      <c r="A96" s="288" t="s">
        <v>56</v>
      </c>
      <c r="B96" s="289">
        <f aca="true" t="shared" si="49" ref="B96:H96">B97</f>
        <v>32</v>
      </c>
      <c r="C96" s="289">
        <f t="shared" si="49"/>
        <v>33</v>
      </c>
      <c r="D96" s="289">
        <f t="shared" si="49"/>
        <v>20</v>
      </c>
      <c r="E96" s="289">
        <f t="shared" si="49"/>
        <v>31</v>
      </c>
      <c r="F96" s="289">
        <f t="shared" si="49"/>
        <v>33</v>
      </c>
      <c r="G96" s="289">
        <f t="shared" si="49"/>
        <v>45</v>
      </c>
      <c r="H96" s="290">
        <f t="shared" si="49"/>
        <v>36</v>
      </c>
      <c r="I96" s="302">
        <f aca="true" t="shared" si="50" ref="I96:N96">I97+I98</f>
        <v>33</v>
      </c>
      <c r="J96" s="302">
        <f t="shared" si="50"/>
        <v>44</v>
      </c>
      <c r="K96" s="302">
        <f t="shared" si="50"/>
        <v>36</v>
      </c>
      <c r="L96" s="303">
        <f t="shared" si="50"/>
        <v>169.5</v>
      </c>
      <c r="M96" s="303">
        <f t="shared" si="50"/>
        <v>136.5</v>
      </c>
      <c r="N96" s="303">
        <f t="shared" si="50"/>
        <v>33</v>
      </c>
      <c r="O96" s="303"/>
      <c r="P96" s="303">
        <f>P97+P98</f>
        <v>69</v>
      </c>
    </row>
    <row r="97" spans="1:16" s="192" customFormat="1" ht="27" customHeight="1">
      <c r="A97" s="291" t="s">
        <v>178</v>
      </c>
      <c r="B97" s="292">
        <v>32</v>
      </c>
      <c r="C97" s="292">
        <v>33</v>
      </c>
      <c r="D97" s="292">
        <v>20</v>
      </c>
      <c r="E97" s="292">
        <v>31</v>
      </c>
      <c r="F97" s="292">
        <v>33</v>
      </c>
      <c r="G97" s="292">
        <v>45</v>
      </c>
      <c r="H97" s="205">
        <f aca="true" t="shared" si="51" ref="H97:H102">((E97+F97+G97)-(B97+C97+D97))*1.5</f>
        <v>36</v>
      </c>
      <c r="I97" s="211">
        <v>33</v>
      </c>
      <c r="J97" s="237">
        <v>44</v>
      </c>
      <c r="K97" s="237">
        <v>33</v>
      </c>
      <c r="L97" s="293">
        <f>(I97+J97+K97)*1.5</f>
        <v>165</v>
      </c>
      <c r="M97" s="205">
        <f>VLOOKUP(A97,'2021年住培'!$A:$K,11,0)</f>
        <v>136.5</v>
      </c>
      <c r="N97" s="201">
        <f>L97-M97</f>
        <v>28.5</v>
      </c>
      <c r="O97" s="201"/>
      <c r="P97" s="201">
        <f>ROUND(H97+N97+O97,2)</f>
        <v>64.5</v>
      </c>
    </row>
    <row r="98" spans="1:16" s="192" customFormat="1" ht="27" customHeight="1">
      <c r="A98" s="291" t="s">
        <v>179</v>
      </c>
      <c r="B98" s="292"/>
      <c r="C98" s="292"/>
      <c r="D98" s="292"/>
      <c r="E98" s="292"/>
      <c r="F98" s="292"/>
      <c r="G98" s="292"/>
      <c r="H98" s="293"/>
      <c r="I98" s="211"/>
      <c r="J98" s="237"/>
      <c r="K98" s="237">
        <f>VLOOKUP(A98,'[1]住培'!$A:$D,4,0)</f>
        <v>3</v>
      </c>
      <c r="L98" s="293">
        <f>(I98+J98+K98)*1.5</f>
        <v>4.5</v>
      </c>
      <c r="M98" s="205">
        <f>VLOOKUP(A98,'[1]住培'!$A:$F,6,0)</f>
        <v>0</v>
      </c>
      <c r="N98" s="201">
        <f>L98-M98</f>
        <v>4.5</v>
      </c>
      <c r="O98" s="201"/>
      <c r="P98" s="201">
        <f>ROUND(H98+N98+O98,2)</f>
        <v>4.5</v>
      </c>
    </row>
    <row r="99" spans="1:16" s="192" customFormat="1" ht="27" customHeight="1">
      <c r="A99" s="288" t="s">
        <v>57</v>
      </c>
      <c r="B99" s="289">
        <f>B100</f>
        <v>14</v>
      </c>
      <c r="C99" s="289">
        <f aca="true" t="shared" si="52" ref="C99:H99">C100</f>
        <v>60</v>
      </c>
      <c r="D99" s="289">
        <f t="shared" si="52"/>
        <v>20</v>
      </c>
      <c r="E99" s="289">
        <f t="shared" si="52"/>
        <v>13</v>
      </c>
      <c r="F99" s="289">
        <f t="shared" si="52"/>
        <v>60</v>
      </c>
      <c r="G99" s="289">
        <f t="shared" si="52"/>
        <v>58</v>
      </c>
      <c r="H99" s="290">
        <f t="shared" si="52"/>
        <v>55.5</v>
      </c>
      <c r="I99" s="302">
        <f aca="true" t="shared" si="53" ref="I99:N99">I100</f>
        <v>58</v>
      </c>
      <c r="J99" s="302">
        <f t="shared" si="53"/>
        <v>57</v>
      </c>
      <c r="K99" s="302">
        <f t="shared" si="53"/>
        <v>62</v>
      </c>
      <c r="L99" s="303">
        <f t="shared" si="53"/>
        <v>265.5</v>
      </c>
      <c r="M99" s="303">
        <f t="shared" si="53"/>
        <v>255</v>
      </c>
      <c r="N99" s="303">
        <f t="shared" si="53"/>
        <v>10.5</v>
      </c>
      <c r="O99" s="303"/>
      <c r="P99" s="303">
        <f>P100</f>
        <v>66</v>
      </c>
    </row>
    <row r="100" spans="1:16" s="192" customFormat="1" ht="27" customHeight="1">
      <c r="A100" s="291" t="s">
        <v>180</v>
      </c>
      <c r="B100" s="292">
        <v>14</v>
      </c>
      <c r="C100" s="292">
        <v>60</v>
      </c>
      <c r="D100" s="292">
        <v>20</v>
      </c>
      <c r="E100" s="292">
        <v>13</v>
      </c>
      <c r="F100" s="292">
        <v>60</v>
      </c>
      <c r="G100" s="292">
        <v>58</v>
      </c>
      <c r="H100" s="205">
        <f t="shared" si="51"/>
        <v>55.5</v>
      </c>
      <c r="I100" s="211">
        <v>58</v>
      </c>
      <c r="J100" s="237">
        <v>57</v>
      </c>
      <c r="K100" s="237">
        <v>62</v>
      </c>
      <c r="L100" s="293">
        <f>(I100+J100+K100)*1.5</f>
        <v>265.5</v>
      </c>
      <c r="M100" s="205">
        <f>VLOOKUP(A100,'2021年住培'!$A:$K,11,0)</f>
        <v>255</v>
      </c>
      <c r="N100" s="201">
        <f>L100-M100</f>
        <v>10.5</v>
      </c>
      <c r="O100" s="201"/>
      <c r="P100" s="201">
        <f>ROUND(H100+N100+O100,2)</f>
        <v>66</v>
      </c>
    </row>
    <row r="101" spans="1:16" s="192" customFormat="1" ht="27" customHeight="1">
      <c r="A101" s="288" t="s">
        <v>58</v>
      </c>
      <c r="B101" s="289">
        <f aca="true" t="shared" si="54" ref="B101:H101">B102</f>
        <v>14</v>
      </c>
      <c r="C101" s="289">
        <f t="shared" si="54"/>
        <v>21</v>
      </c>
      <c r="D101" s="289">
        <f t="shared" si="54"/>
        <v>20</v>
      </c>
      <c r="E101" s="289">
        <f t="shared" si="54"/>
        <v>14</v>
      </c>
      <c r="F101" s="289">
        <f t="shared" si="54"/>
        <v>21</v>
      </c>
      <c r="G101" s="289">
        <f t="shared" si="54"/>
        <v>49</v>
      </c>
      <c r="H101" s="290">
        <f t="shared" si="54"/>
        <v>43.5</v>
      </c>
      <c r="I101" s="302">
        <f aca="true" t="shared" si="55" ref="I101:N101">I102</f>
        <v>20</v>
      </c>
      <c r="J101" s="302">
        <f t="shared" si="55"/>
        <v>49</v>
      </c>
      <c r="K101" s="302">
        <f t="shared" si="55"/>
        <v>43</v>
      </c>
      <c r="L101" s="303">
        <f t="shared" si="55"/>
        <v>168</v>
      </c>
      <c r="M101" s="303">
        <f t="shared" si="55"/>
        <v>93</v>
      </c>
      <c r="N101" s="303">
        <f t="shared" si="55"/>
        <v>75</v>
      </c>
      <c r="O101" s="303"/>
      <c r="P101" s="303">
        <f>P102</f>
        <v>118.5</v>
      </c>
    </row>
    <row r="102" spans="1:16" s="192" customFormat="1" ht="27" customHeight="1">
      <c r="A102" s="291" t="s">
        <v>181</v>
      </c>
      <c r="B102" s="292">
        <v>14</v>
      </c>
      <c r="C102" s="292">
        <v>21</v>
      </c>
      <c r="D102" s="292">
        <v>20</v>
      </c>
      <c r="E102" s="292">
        <v>14</v>
      </c>
      <c r="F102" s="292">
        <v>21</v>
      </c>
      <c r="G102" s="292">
        <v>49</v>
      </c>
      <c r="H102" s="205">
        <f t="shared" si="51"/>
        <v>43.5</v>
      </c>
      <c r="I102" s="211">
        <v>20</v>
      </c>
      <c r="J102" s="237">
        <v>49</v>
      </c>
      <c r="K102" s="237">
        <v>43</v>
      </c>
      <c r="L102" s="293">
        <f aca="true" t="shared" si="56" ref="L102:L107">(I102+J102+K102)*1.5</f>
        <v>168</v>
      </c>
      <c r="M102" s="205">
        <f>VLOOKUP(A102,'2021年住培'!$A:$K,11,0)</f>
        <v>93</v>
      </c>
      <c r="N102" s="201">
        <f aca="true" t="shared" si="57" ref="N102:N107">L102-M102</f>
        <v>75</v>
      </c>
      <c r="O102" s="201"/>
      <c r="P102" s="201">
        <f aca="true" t="shared" si="58" ref="P102:P107">ROUND(H102+N102+O102,2)</f>
        <v>118.5</v>
      </c>
    </row>
    <row r="103" spans="1:16" s="192" customFormat="1" ht="27" customHeight="1">
      <c r="A103" s="288" t="s">
        <v>59</v>
      </c>
      <c r="B103" s="289">
        <f aca="true" t="shared" si="59" ref="B103:H103">B104</f>
        <v>36</v>
      </c>
      <c r="C103" s="289">
        <f t="shared" si="59"/>
        <v>35</v>
      </c>
      <c r="D103" s="289">
        <f t="shared" si="59"/>
        <v>20</v>
      </c>
      <c r="E103" s="289">
        <f t="shared" si="59"/>
        <v>37</v>
      </c>
      <c r="F103" s="289">
        <f t="shared" si="59"/>
        <v>35</v>
      </c>
      <c r="G103" s="289">
        <f t="shared" si="59"/>
        <v>41</v>
      </c>
      <c r="H103" s="290">
        <f t="shared" si="59"/>
        <v>33</v>
      </c>
      <c r="I103" s="302">
        <f aca="true" t="shared" si="60" ref="I103:N103">I104</f>
        <v>35</v>
      </c>
      <c r="J103" s="302">
        <f t="shared" si="60"/>
        <v>41</v>
      </c>
      <c r="K103" s="302">
        <f t="shared" si="60"/>
        <v>41</v>
      </c>
      <c r="L103" s="303">
        <f t="shared" si="60"/>
        <v>175.5</v>
      </c>
      <c r="M103" s="303">
        <f t="shared" si="60"/>
        <v>142.5</v>
      </c>
      <c r="N103" s="303">
        <f t="shared" si="60"/>
        <v>33</v>
      </c>
      <c r="O103" s="303"/>
      <c r="P103" s="303">
        <f>P104</f>
        <v>66</v>
      </c>
    </row>
    <row r="104" spans="1:16" s="192" customFormat="1" ht="27" customHeight="1">
      <c r="A104" s="291" t="s">
        <v>182</v>
      </c>
      <c r="B104" s="292">
        <v>36</v>
      </c>
      <c r="C104" s="292">
        <v>35</v>
      </c>
      <c r="D104" s="292">
        <v>20</v>
      </c>
      <c r="E104" s="292">
        <v>37</v>
      </c>
      <c r="F104" s="292">
        <v>35</v>
      </c>
      <c r="G104" s="292">
        <v>41</v>
      </c>
      <c r="H104" s="205">
        <f aca="true" t="shared" si="61" ref="H104:H109">((E104+F104+G104)-(B104+C104+D104))*1.5</f>
        <v>33</v>
      </c>
      <c r="I104" s="211">
        <v>35</v>
      </c>
      <c r="J104" s="237">
        <v>41</v>
      </c>
      <c r="K104" s="237">
        <v>41</v>
      </c>
      <c r="L104" s="293">
        <f t="shared" si="56"/>
        <v>175.5</v>
      </c>
      <c r="M104" s="205">
        <f>VLOOKUP(A104,'2021年住培'!$A:$K,11,0)</f>
        <v>142.5</v>
      </c>
      <c r="N104" s="201">
        <f t="shared" si="57"/>
        <v>33</v>
      </c>
      <c r="O104" s="201"/>
      <c r="P104" s="201">
        <f t="shared" si="58"/>
        <v>66</v>
      </c>
    </row>
    <row r="105" spans="1:16" s="192" customFormat="1" ht="27" customHeight="1">
      <c r="A105" s="288" t="s">
        <v>60</v>
      </c>
      <c r="B105" s="289">
        <f aca="true" t="shared" si="62" ref="B105:H105">B106</f>
        <v>50</v>
      </c>
      <c r="C105" s="289">
        <f t="shared" si="62"/>
        <v>67</v>
      </c>
      <c r="D105" s="289">
        <f t="shared" si="62"/>
        <v>20</v>
      </c>
      <c r="E105" s="289">
        <f t="shared" si="62"/>
        <v>49</v>
      </c>
      <c r="F105" s="289">
        <f t="shared" si="62"/>
        <v>67</v>
      </c>
      <c r="G105" s="289">
        <f t="shared" si="62"/>
        <v>44</v>
      </c>
      <c r="H105" s="290">
        <f t="shared" si="62"/>
        <v>34.5</v>
      </c>
      <c r="I105" s="302">
        <f aca="true" t="shared" si="63" ref="I105:N105">I106+I107</f>
        <v>64</v>
      </c>
      <c r="J105" s="302">
        <f t="shared" si="63"/>
        <v>43</v>
      </c>
      <c r="K105" s="302">
        <f t="shared" si="63"/>
        <v>66</v>
      </c>
      <c r="L105" s="303">
        <f t="shared" si="63"/>
        <v>259.5</v>
      </c>
      <c r="M105" s="303">
        <f t="shared" si="63"/>
        <v>246</v>
      </c>
      <c r="N105" s="303">
        <f t="shared" si="63"/>
        <v>13.5</v>
      </c>
      <c r="O105" s="303"/>
      <c r="P105" s="303">
        <f>P106+P107</f>
        <v>48</v>
      </c>
    </row>
    <row r="106" spans="1:16" s="192" customFormat="1" ht="27" customHeight="1">
      <c r="A106" s="291" t="s">
        <v>183</v>
      </c>
      <c r="B106" s="292">
        <v>50</v>
      </c>
      <c r="C106" s="292">
        <v>67</v>
      </c>
      <c r="D106" s="292">
        <v>20</v>
      </c>
      <c r="E106" s="292">
        <v>49</v>
      </c>
      <c r="F106" s="292">
        <v>67</v>
      </c>
      <c r="G106" s="292">
        <v>44</v>
      </c>
      <c r="H106" s="205">
        <f t="shared" si="61"/>
        <v>34.5</v>
      </c>
      <c r="I106" s="211">
        <v>64</v>
      </c>
      <c r="J106" s="237">
        <v>43</v>
      </c>
      <c r="K106" s="237">
        <v>59</v>
      </c>
      <c r="L106" s="293">
        <f t="shared" si="56"/>
        <v>249</v>
      </c>
      <c r="M106" s="205">
        <f>VLOOKUP(A106,'2021年住培'!$A:$K,11,0)</f>
        <v>246</v>
      </c>
      <c r="N106" s="201">
        <f t="shared" si="57"/>
        <v>3</v>
      </c>
      <c r="O106" s="201"/>
      <c r="P106" s="201">
        <f t="shared" si="58"/>
        <v>37.5</v>
      </c>
    </row>
    <row r="107" spans="1:16" s="192" customFormat="1" ht="27" customHeight="1">
      <c r="A107" s="291" t="s">
        <v>184</v>
      </c>
      <c r="B107" s="292"/>
      <c r="C107" s="292"/>
      <c r="D107" s="292"/>
      <c r="E107" s="292"/>
      <c r="F107" s="292"/>
      <c r="G107" s="292"/>
      <c r="H107" s="293"/>
      <c r="I107" s="211"/>
      <c r="J107" s="237"/>
      <c r="K107" s="237">
        <f>VLOOKUP(A107,'[1]住培'!$A:$D,4,0)</f>
        <v>7</v>
      </c>
      <c r="L107" s="293">
        <f t="shared" si="56"/>
        <v>10.5</v>
      </c>
      <c r="M107" s="205">
        <f>VLOOKUP(A107,'[1]住培'!$A:$F,6,0)</f>
        <v>0</v>
      </c>
      <c r="N107" s="201">
        <f t="shared" si="57"/>
        <v>10.5</v>
      </c>
      <c r="O107" s="201"/>
      <c r="P107" s="201">
        <f t="shared" si="58"/>
        <v>10.5</v>
      </c>
    </row>
    <row r="108" spans="1:16" s="192" customFormat="1" ht="27" customHeight="1">
      <c r="A108" s="288" t="s">
        <v>62</v>
      </c>
      <c r="B108" s="289">
        <f aca="true" t="shared" si="64" ref="B108:H108">B109</f>
        <v>9</v>
      </c>
      <c r="C108" s="289">
        <f t="shared" si="64"/>
        <v>19</v>
      </c>
      <c r="D108" s="289">
        <f t="shared" si="64"/>
        <v>30</v>
      </c>
      <c r="E108" s="289">
        <f t="shared" si="64"/>
        <v>9</v>
      </c>
      <c r="F108" s="289">
        <f t="shared" si="64"/>
        <v>19</v>
      </c>
      <c r="G108" s="289">
        <f t="shared" si="64"/>
        <v>18</v>
      </c>
      <c r="H108" s="290">
        <f t="shared" si="64"/>
        <v>-18</v>
      </c>
      <c r="I108" s="302">
        <f aca="true" t="shared" si="65" ref="I108:N108">I109</f>
        <v>18</v>
      </c>
      <c r="J108" s="302">
        <f t="shared" si="65"/>
        <v>17</v>
      </c>
      <c r="K108" s="302">
        <f t="shared" si="65"/>
        <v>19</v>
      </c>
      <c r="L108" s="303">
        <f t="shared" si="65"/>
        <v>81</v>
      </c>
      <c r="M108" s="303">
        <f t="shared" si="65"/>
        <v>79.5</v>
      </c>
      <c r="N108" s="303">
        <f t="shared" si="65"/>
        <v>1.5</v>
      </c>
      <c r="O108" s="303"/>
      <c r="P108" s="303">
        <f>P109</f>
        <v>-16.5</v>
      </c>
    </row>
    <row r="109" spans="1:16" s="192" customFormat="1" ht="27" customHeight="1">
      <c r="A109" s="291" t="s">
        <v>185</v>
      </c>
      <c r="B109" s="292">
        <v>9</v>
      </c>
      <c r="C109" s="292">
        <v>19</v>
      </c>
      <c r="D109" s="292">
        <v>30</v>
      </c>
      <c r="E109" s="292">
        <v>9</v>
      </c>
      <c r="F109" s="292">
        <v>19</v>
      </c>
      <c r="G109" s="292">
        <v>18</v>
      </c>
      <c r="H109" s="205">
        <f t="shared" si="61"/>
        <v>-18</v>
      </c>
      <c r="I109" s="211">
        <v>18</v>
      </c>
      <c r="J109" s="237">
        <v>17</v>
      </c>
      <c r="K109" s="237">
        <v>19</v>
      </c>
      <c r="L109" s="293">
        <f>(I109+J109+K109)*1.5</f>
        <v>81</v>
      </c>
      <c r="M109" s="205">
        <f>VLOOKUP(A109,'2021年住培'!$A:$K,11,0)</f>
        <v>79.5</v>
      </c>
      <c r="N109" s="201">
        <f>L109-M109</f>
        <v>1.5</v>
      </c>
      <c r="O109" s="201"/>
      <c r="P109" s="201">
        <f>ROUND(H109+N109+O109,2)</f>
        <v>-16.5</v>
      </c>
    </row>
    <row r="110" spans="1:16" s="192" customFormat="1" ht="27" customHeight="1">
      <c r="A110" s="288" t="s">
        <v>49</v>
      </c>
      <c r="B110" s="289"/>
      <c r="C110" s="289"/>
      <c r="D110" s="289"/>
      <c r="E110" s="289"/>
      <c r="F110" s="289"/>
      <c r="G110" s="289"/>
      <c r="H110" s="290"/>
      <c r="I110" s="302"/>
      <c r="J110" s="302"/>
      <c r="K110" s="302">
        <f>K111</f>
        <v>23</v>
      </c>
      <c r="L110" s="303">
        <f>L111</f>
        <v>34.5</v>
      </c>
      <c r="M110" s="303">
        <f>M111</f>
        <v>0</v>
      </c>
      <c r="N110" s="303">
        <f>N111</f>
        <v>34.5</v>
      </c>
      <c r="O110" s="303"/>
      <c r="P110" s="303">
        <f>P111</f>
        <v>34.5</v>
      </c>
    </row>
    <row r="111" spans="1:16" s="192" customFormat="1" ht="27" customHeight="1">
      <c r="A111" s="291" t="s">
        <v>186</v>
      </c>
      <c r="B111" s="292"/>
      <c r="C111" s="292"/>
      <c r="D111" s="292"/>
      <c r="E111" s="292"/>
      <c r="F111" s="292"/>
      <c r="G111" s="292"/>
      <c r="H111" s="293"/>
      <c r="I111" s="211"/>
      <c r="J111" s="237"/>
      <c r="K111" s="237">
        <v>23</v>
      </c>
      <c r="L111" s="293">
        <f>(I111+J111+K111)*1.5</f>
        <v>34.5</v>
      </c>
      <c r="M111" s="303">
        <v>0</v>
      </c>
      <c r="N111" s="201">
        <f>L111-M111</f>
        <v>34.5</v>
      </c>
      <c r="O111" s="201"/>
      <c r="P111" s="201">
        <f>ROUND(H111+N111+O111,2)</f>
        <v>34.5</v>
      </c>
    </row>
    <row r="112" spans="1:16" s="192" customFormat="1" ht="27" customHeight="1">
      <c r="A112" s="288" t="s">
        <v>52</v>
      </c>
      <c r="B112" s="289"/>
      <c r="C112" s="289"/>
      <c r="D112" s="289"/>
      <c r="E112" s="289"/>
      <c r="F112" s="289"/>
      <c r="G112" s="289"/>
      <c r="H112" s="290"/>
      <c r="I112" s="302"/>
      <c r="J112" s="302"/>
      <c r="K112" s="302">
        <f>K113</f>
        <v>0</v>
      </c>
      <c r="L112" s="303">
        <f>L113</f>
        <v>0</v>
      </c>
      <c r="M112" s="303">
        <f>M113</f>
        <v>0</v>
      </c>
      <c r="N112" s="303">
        <f>N113</f>
        <v>0</v>
      </c>
      <c r="O112" s="303"/>
      <c r="P112" s="303">
        <f>P113</f>
        <v>0</v>
      </c>
    </row>
    <row r="113" spans="1:16" s="192" customFormat="1" ht="27" customHeight="1">
      <c r="A113" s="291" t="s">
        <v>187</v>
      </c>
      <c r="B113" s="292"/>
      <c r="C113" s="292"/>
      <c r="D113" s="292"/>
      <c r="E113" s="292"/>
      <c r="F113" s="292"/>
      <c r="G113" s="292"/>
      <c r="H113" s="293"/>
      <c r="I113" s="211"/>
      <c r="J113" s="237"/>
      <c r="K113" s="237">
        <v>0</v>
      </c>
      <c r="L113" s="303">
        <v>0</v>
      </c>
      <c r="M113" s="303">
        <v>0</v>
      </c>
      <c r="N113" s="303">
        <v>0</v>
      </c>
      <c r="O113" s="201"/>
      <c r="P113" s="303">
        <f>ROUND(H113+N113+O113,2)</f>
        <v>0</v>
      </c>
    </row>
    <row r="114" spans="1:16" s="192" customFormat="1" ht="27" customHeight="1">
      <c r="A114" s="288" t="s">
        <v>61</v>
      </c>
      <c r="B114" s="289"/>
      <c r="C114" s="289"/>
      <c r="D114" s="289"/>
      <c r="E114" s="289"/>
      <c r="F114" s="289"/>
      <c r="G114" s="289"/>
      <c r="H114" s="290"/>
      <c r="I114" s="302"/>
      <c r="J114" s="302"/>
      <c r="K114" s="302">
        <f>K115</f>
        <v>7</v>
      </c>
      <c r="L114" s="303">
        <f>L115</f>
        <v>10.5</v>
      </c>
      <c r="M114" s="303">
        <f>M115</f>
        <v>0</v>
      </c>
      <c r="N114" s="303">
        <f>N115</f>
        <v>10.5</v>
      </c>
      <c r="O114" s="303"/>
      <c r="P114" s="303">
        <f>P115</f>
        <v>10.5</v>
      </c>
    </row>
    <row r="115" spans="1:16" s="192" customFormat="1" ht="27" customHeight="1">
      <c r="A115" s="291" t="s">
        <v>188</v>
      </c>
      <c r="B115" s="292"/>
      <c r="C115" s="292"/>
      <c r="D115" s="292"/>
      <c r="E115" s="292"/>
      <c r="F115" s="292"/>
      <c r="G115" s="292"/>
      <c r="H115" s="293"/>
      <c r="I115" s="211"/>
      <c r="J115" s="237"/>
      <c r="K115" s="237">
        <v>7</v>
      </c>
      <c r="L115" s="293">
        <f>(I115+J115+K115)*1.5</f>
        <v>10.5</v>
      </c>
      <c r="M115" s="303">
        <v>0</v>
      </c>
      <c r="N115" s="201">
        <f>L115-M115</f>
        <v>10.5</v>
      </c>
      <c r="O115" s="201"/>
      <c r="P115" s="201">
        <f>ROUND(H115+N115+O115,2)</f>
        <v>10.5</v>
      </c>
    </row>
    <row r="116" spans="1:16" s="273" customFormat="1" ht="27" customHeight="1">
      <c r="A116" s="288" t="s">
        <v>63</v>
      </c>
      <c r="B116" s="288"/>
      <c r="C116" s="288"/>
      <c r="D116" s="288"/>
      <c r="E116" s="288"/>
      <c r="F116" s="288"/>
      <c r="G116" s="289"/>
      <c r="H116" s="290"/>
      <c r="I116" s="302"/>
      <c r="J116" s="302"/>
      <c r="K116" s="302">
        <f>K117</f>
        <v>0</v>
      </c>
      <c r="L116" s="303">
        <f>L117</f>
        <v>0</v>
      </c>
      <c r="M116" s="303">
        <f>M117</f>
        <v>0</v>
      </c>
      <c r="N116" s="303">
        <f>N117</f>
        <v>0</v>
      </c>
      <c r="O116" s="303"/>
      <c r="P116" s="303">
        <f>P117</f>
        <v>0</v>
      </c>
    </row>
    <row r="117" spans="1:16" s="192" customFormat="1" ht="27" customHeight="1">
      <c r="A117" s="291" t="s">
        <v>189</v>
      </c>
      <c r="B117" s="292"/>
      <c r="C117" s="292"/>
      <c r="D117" s="292"/>
      <c r="E117" s="292"/>
      <c r="F117" s="292"/>
      <c r="G117" s="292"/>
      <c r="H117" s="293"/>
      <c r="I117" s="211"/>
      <c r="J117" s="237"/>
      <c r="K117" s="237">
        <v>0</v>
      </c>
      <c r="L117" s="303">
        <v>0</v>
      </c>
      <c r="M117" s="303">
        <v>0</v>
      </c>
      <c r="N117" s="303">
        <v>0</v>
      </c>
      <c r="O117" s="293"/>
      <c r="P117" s="303">
        <f>ROUND(H117+N117+O117,2)</f>
        <v>0</v>
      </c>
    </row>
    <row r="118" spans="1:16" s="274" customFormat="1" ht="52.5" customHeight="1">
      <c r="A118" s="304" t="s">
        <v>225</v>
      </c>
      <c r="B118" s="305"/>
      <c r="C118" s="305"/>
      <c r="D118" s="305"/>
      <c r="E118" s="305"/>
      <c r="F118" s="305"/>
      <c r="G118" s="305"/>
      <c r="H118" s="305"/>
      <c r="I118" s="305"/>
      <c r="J118" s="305"/>
      <c r="K118" s="305"/>
      <c r="L118" s="305"/>
      <c r="M118" s="305"/>
      <c r="N118" s="305"/>
      <c r="O118" s="305"/>
      <c r="P118" s="305"/>
    </row>
  </sheetData>
  <sheetProtection/>
  <mergeCells count="7">
    <mergeCell ref="A2:P2"/>
    <mergeCell ref="B4:H4"/>
    <mergeCell ref="I4:N4"/>
    <mergeCell ref="A118:P118"/>
    <mergeCell ref="A4:A6"/>
    <mergeCell ref="O4:O5"/>
    <mergeCell ref="P4:P5"/>
  </mergeCells>
  <printOptions horizontalCentered="1"/>
  <pageMargins left="0.4722222222222222" right="0.4722222222222222" top="0.5902777777777778" bottom="0.7868055555555555" header="0.3145833333333333" footer="0.5118055555555555"/>
  <pageSetup fitToHeight="0" fitToWidth="1" horizontalDpi="600" verticalDpi="600" orientation="landscape" paperSize="9" scale="46"/>
</worksheet>
</file>

<file path=xl/worksheets/sheet4.xml><?xml version="1.0" encoding="utf-8"?>
<worksheet xmlns="http://schemas.openxmlformats.org/spreadsheetml/2006/main" xmlns:r="http://schemas.openxmlformats.org/officeDocument/2006/relationships">
  <sheetPr>
    <pageSetUpPr fitToPage="1"/>
  </sheetPr>
  <dimension ref="A1:M26"/>
  <sheetViews>
    <sheetView view="pageBreakPreview" zoomScale="70" zoomScaleNormal="70" zoomScaleSheetLayoutView="70" workbookViewId="0" topLeftCell="A1">
      <selection activeCell="E16" sqref="E16"/>
    </sheetView>
  </sheetViews>
  <sheetFormatPr defaultColWidth="9.00390625" defaultRowHeight="15"/>
  <cols>
    <col min="1" max="1" width="26.140625" style="221" customWidth="1"/>
    <col min="2" max="2" width="15.57421875" style="43" customWidth="1"/>
    <col min="3" max="4" width="11.421875" style="43" customWidth="1"/>
    <col min="5" max="7" width="15.57421875" style="43" customWidth="1"/>
    <col min="8" max="8" width="20.421875" style="43" customWidth="1"/>
    <col min="9" max="9" width="25.421875" style="254" customWidth="1"/>
    <col min="10" max="10" width="16.7109375" style="43" customWidth="1"/>
    <col min="11" max="11" width="18.00390625" style="43" customWidth="1"/>
    <col min="12" max="12" width="24.28125" style="43" customWidth="1"/>
    <col min="13" max="13" width="23.140625" style="43" customWidth="1"/>
    <col min="14" max="16384" width="9.00390625" style="151" customWidth="1"/>
  </cols>
  <sheetData>
    <row r="1" spans="1:13" ht="24" customHeight="1">
      <c r="A1" s="255" t="s">
        <v>226</v>
      </c>
      <c r="B1" s="256"/>
      <c r="C1" s="256"/>
      <c r="D1" s="256"/>
      <c r="E1" s="256"/>
      <c r="F1" s="256"/>
      <c r="G1" s="256"/>
      <c r="H1" s="256"/>
      <c r="I1" s="266"/>
      <c r="J1" s="256"/>
      <c r="K1" s="256"/>
      <c r="L1" s="256"/>
      <c r="M1" s="256"/>
    </row>
    <row r="2" spans="1:13" s="251" customFormat="1" ht="33.75" customHeight="1">
      <c r="A2" s="257" t="s">
        <v>227</v>
      </c>
      <c r="B2" s="257"/>
      <c r="C2" s="257"/>
      <c r="D2" s="257"/>
      <c r="E2" s="257"/>
      <c r="F2" s="257"/>
      <c r="G2" s="257"/>
      <c r="H2" s="257"/>
      <c r="I2" s="267"/>
      <c r="J2" s="257"/>
      <c r="K2" s="257"/>
      <c r="L2" s="257"/>
      <c r="M2" s="257"/>
    </row>
    <row r="3" spans="1:13" s="218" customFormat="1" ht="22.5" customHeight="1">
      <c r="A3" s="258"/>
      <c r="B3" s="258"/>
      <c r="C3" s="258"/>
      <c r="D3" s="258"/>
      <c r="E3" s="258"/>
      <c r="F3" s="258"/>
      <c r="G3" s="258"/>
      <c r="H3" s="258"/>
      <c r="I3" s="268"/>
      <c r="J3" s="258"/>
      <c r="K3" s="258"/>
      <c r="L3" s="258"/>
      <c r="M3" s="269" t="s">
        <v>2</v>
      </c>
    </row>
    <row r="4" spans="1:13" s="252" customFormat="1" ht="27.75" customHeight="1">
      <c r="A4" s="259" t="s">
        <v>228</v>
      </c>
      <c r="B4" s="259" t="s">
        <v>229</v>
      </c>
      <c r="C4" s="259"/>
      <c r="D4" s="259"/>
      <c r="E4" s="259"/>
      <c r="F4" s="259"/>
      <c r="G4" s="259"/>
      <c r="H4" s="259"/>
      <c r="I4" s="270"/>
      <c r="J4" s="259" t="s">
        <v>230</v>
      </c>
      <c r="K4" s="259"/>
      <c r="L4" s="259" t="s">
        <v>107</v>
      </c>
      <c r="M4" s="259" t="s">
        <v>231</v>
      </c>
    </row>
    <row r="5" spans="1:13" s="252" customFormat="1" ht="27.75" customHeight="1">
      <c r="A5" s="259"/>
      <c r="B5" s="259" t="s">
        <v>232</v>
      </c>
      <c r="C5" s="259" t="s">
        <v>233</v>
      </c>
      <c r="D5" s="259"/>
      <c r="E5" s="259" t="s">
        <v>234</v>
      </c>
      <c r="F5" s="259"/>
      <c r="G5" s="259"/>
      <c r="H5" s="259"/>
      <c r="I5" s="259" t="s">
        <v>235</v>
      </c>
      <c r="J5" s="259" t="s">
        <v>236</v>
      </c>
      <c r="K5" s="259" t="s">
        <v>112</v>
      </c>
      <c r="L5" s="259"/>
      <c r="M5" s="259"/>
    </row>
    <row r="6" spans="1:13" s="252" customFormat="1" ht="27.75" customHeight="1">
      <c r="A6" s="259"/>
      <c r="B6" s="259" t="s">
        <v>237</v>
      </c>
      <c r="C6" s="259" t="s">
        <v>237</v>
      </c>
      <c r="D6" s="259" t="s">
        <v>238</v>
      </c>
      <c r="E6" s="259" t="s">
        <v>237</v>
      </c>
      <c r="F6" s="259" t="s">
        <v>238</v>
      </c>
      <c r="G6" s="259" t="s">
        <v>239</v>
      </c>
      <c r="H6" s="259" t="s">
        <v>240</v>
      </c>
      <c r="I6" s="259"/>
      <c r="J6" s="259"/>
      <c r="K6" s="259"/>
      <c r="L6" s="259"/>
      <c r="M6" s="259"/>
    </row>
    <row r="7" spans="1:13" s="253" customFormat="1" ht="52.5" customHeight="1">
      <c r="A7" s="260" t="s">
        <v>241</v>
      </c>
      <c r="B7" s="260" t="s">
        <v>117</v>
      </c>
      <c r="C7" s="260" t="s">
        <v>118</v>
      </c>
      <c r="D7" s="260" t="s">
        <v>119</v>
      </c>
      <c r="E7" s="260" t="s">
        <v>120</v>
      </c>
      <c r="F7" s="260" t="s">
        <v>242</v>
      </c>
      <c r="G7" s="260" t="s">
        <v>122</v>
      </c>
      <c r="H7" s="260" t="s">
        <v>243</v>
      </c>
      <c r="I7" s="260" t="s">
        <v>244</v>
      </c>
      <c r="J7" s="260" t="s">
        <v>125</v>
      </c>
      <c r="K7" s="260" t="s">
        <v>245</v>
      </c>
      <c r="L7" s="260" t="s">
        <v>127</v>
      </c>
      <c r="M7" s="260" t="s">
        <v>246</v>
      </c>
    </row>
    <row r="8" spans="1:13" s="219" customFormat="1" ht="27.75" customHeight="1">
      <c r="A8" s="261" t="s">
        <v>4</v>
      </c>
      <c r="B8" s="212">
        <f aca="true" t="shared" si="0" ref="B8:I8">SUM(B11:B25)</f>
        <v>199</v>
      </c>
      <c r="C8" s="212">
        <f t="shared" si="0"/>
        <v>200</v>
      </c>
      <c r="D8" s="212">
        <f t="shared" si="0"/>
        <v>880</v>
      </c>
      <c r="E8" s="262">
        <f t="shared" si="0"/>
        <v>440</v>
      </c>
      <c r="F8" s="262">
        <f t="shared" si="0"/>
        <v>960</v>
      </c>
      <c r="G8" s="262">
        <f t="shared" si="0"/>
        <v>800</v>
      </c>
      <c r="H8" s="262">
        <f t="shared" si="0"/>
        <v>800</v>
      </c>
      <c r="I8" s="200">
        <f t="shared" si="0"/>
        <v>6437.000000000001</v>
      </c>
      <c r="J8" s="200">
        <f>SUM(J10:J25)</f>
        <v>1000</v>
      </c>
      <c r="K8" s="200">
        <f>SUM(K10:K25)</f>
        <v>385.00000000000006</v>
      </c>
      <c r="L8" s="200">
        <f>SUM(L10:L25)</f>
        <v>571</v>
      </c>
      <c r="M8" s="200">
        <f>ROUND(SUM(M10:M25),2)</f>
        <v>7393.02</v>
      </c>
    </row>
    <row r="9" spans="1:13" ht="28.5" customHeight="1">
      <c r="A9" s="261" t="s">
        <v>45</v>
      </c>
      <c r="B9" s="263"/>
      <c r="C9" s="263"/>
      <c r="D9" s="263"/>
      <c r="E9" s="263"/>
      <c r="F9" s="263"/>
      <c r="G9" s="212"/>
      <c r="H9" s="212"/>
      <c r="I9" s="200"/>
      <c r="J9" s="205">
        <f>J10</f>
        <v>200</v>
      </c>
      <c r="K9" s="200">
        <f>K10</f>
        <v>77</v>
      </c>
      <c r="L9" s="205"/>
      <c r="M9" s="205">
        <f aca="true" t="shared" si="1" ref="M9:M25">ROUND(I9+K9+L9,2)</f>
        <v>77</v>
      </c>
    </row>
    <row r="10" spans="1:13" ht="28.5" customHeight="1">
      <c r="A10" s="264" t="s">
        <v>157</v>
      </c>
      <c r="B10" s="244"/>
      <c r="C10" s="244"/>
      <c r="D10" s="244"/>
      <c r="E10" s="244"/>
      <c r="F10" s="244"/>
      <c r="G10" s="237"/>
      <c r="H10" s="237"/>
      <c r="I10" s="205"/>
      <c r="J10" s="205">
        <v>200</v>
      </c>
      <c r="K10" s="205">
        <f>J10*0.385</f>
        <v>77</v>
      </c>
      <c r="L10" s="205"/>
      <c r="M10" s="205">
        <f t="shared" si="1"/>
        <v>77</v>
      </c>
    </row>
    <row r="11" spans="1:13" ht="28.5" customHeight="1">
      <c r="A11" s="261" t="s">
        <v>46</v>
      </c>
      <c r="B11" s="238">
        <v>17</v>
      </c>
      <c r="C11" s="237">
        <v>18</v>
      </c>
      <c r="D11" s="237">
        <v>80</v>
      </c>
      <c r="E11" s="237">
        <v>39</v>
      </c>
      <c r="F11" s="237">
        <v>73</v>
      </c>
      <c r="G11" s="237">
        <v>70</v>
      </c>
      <c r="H11" s="237">
        <v>70</v>
      </c>
      <c r="I11" s="205">
        <f>(B11+C11)*3+D11*2+E11*1+F11*2/3+G11*2+H11*1</f>
        <v>562.6666666666667</v>
      </c>
      <c r="J11" s="205">
        <v>70</v>
      </c>
      <c r="K11" s="205">
        <f aca="true" t="shared" si="2" ref="K11:K25">J11*0.385</f>
        <v>26.95</v>
      </c>
      <c r="L11" s="205">
        <f>VLOOKUP(A11,'全科医生培训结算'!$A:$V,22,0)</f>
        <v>-79</v>
      </c>
      <c r="M11" s="205">
        <f t="shared" si="1"/>
        <v>510.62</v>
      </c>
    </row>
    <row r="12" spans="1:13" ht="28.5" customHeight="1">
      <c r="A12" s="261" t="s">
        <v>48</v>
      </c>
      <c r="B12" s="238">
        <v>11</v>
      </c>
      <c r="C12" s="237">
        <v>10</v>
      </c>
      <c r="D12" s="237">
        <v>43</v>
      </c>
      <c r="E12" s="237">
        <v>23</v>
      </c>
      <c r="F12" s="237">
        <v>45</v>
      </c>
      <c r="G12" s="237">
        <v>36</v>
      </c>
      <c r="H12" s="237">
        <v>36</v>
      </c>
      <c r="I12" s="205">
        <f aca="true" t="shared" si="3" ref="I12:I25">(B12+C12)*3+D12*2+E12*1+F12*2/3+G12*2+H12*1</f>
        <v>310</v>
      </c>
      <c r="J12" s="205">
        <v>36</v>
      </c>
      <c r="K12" s="205">
        <f t="shared" si="2"/>
        <v>13.86</v>
      </c>
      <c r="L12" s="205">
        <f>VLOOKUP(A12,'全科医生培训结算'!$A:$V,22,0)</f>
        <v>15.5</v>
      </c>
      <c r="M12" s="205">
        <f t="shared" si="1"/>
        <v>339.36</v>
      </c>
    </row>
    <row r="13" spans="1:13" ht="28.5" customHeight="1">
      <c r="A13" s="261" t="s">
        <v>49</v>
      </c>
      <c r="B13" s="238">
        <v>19</v>
      </c>
      <c r="C13" s="237">
        <v>10</v>
      </c>
      <c r="D13" s="237">
        <v>44</v>
      </c>
      <c r="E13" s="237">
        <v>21</v>
      </c>
      <c r="F13" s="237">
        <v>43</v>
      </c>
      <c r="G13" s="237">
        <v>36</v>
      </c>
      <c r="H13" s="237">
        <v>36</v>
      </c>
      <c r="I13" s="205">
        <f t="shared" si="3"/>
        <v>332.66666666666663</v>
      </c>
      <c r="J13" s="205">
        <v>36</v>
      </c>
      <c r="K13" s="205">
        <f t="shared" si="2"/>
        <v>13.86</v>
      </c>
      <c r="L13" s="205">
        <f>VLOOKUP(A13,'全科医生培训结算'!$A:$V,22,0)</f>
        <v>-1</v>
      </c>
      <c r="M13" s="205">
        <f t="shared" si="1"/>
        <v>345.53</v>
      </c>
    </row>
    <row r="14" spans="1:13" ht="28.5" customHeight="1">
      <c r="A14" s="261" t="s">
        <v>50</v>
      </c>
      <c r="B14" s="238">
        <v>20</v>
      </c>
      <c r="C14" s="237">
        <v>14</v>
      </c>
      <c r="D14" s="237">
        <v>62</v>
      </c>
      <c r="E14" s="237">
        <v>32</v>
      </c>
      <c r="F14" s="237">
        <v>69</v>
      </c>
      <c r="G14" s="237">
        <v>49</v>
      </c>
      <c r="H14" s="237">
        <v>49</v>
      </c>
      <c r="I14" s="205">
        <f t="shared" si="3"/>
        <v>451</v>
      </c>
      <c r="J14" s="205">
        <v>49</v>
      </c>
      <c r="K14" s="205">
        <f t="shared" si="2"/>
        <v>18.865000000000002</v>
      </c>
      <c r="L14" s="205">
        <f>VLOOKUP(A14,'全科医生培训结算'!$A:$V,22,0)</f>
        <v>42</v>
      </c>
      <c r="M14" s="205">
        <f t="shared" si="1"/>
        <v>511.87</v>
      </c>
    </row>
    <row r="15" spans="1:13" ht="28.5" customHeight="1">
      <c r="A15" s="261" t="s">
        <v>51</v>
      </c>
      <c r="B15" s="238">
        <v>20</v>
      </c>
      <c r="C15" s="237">
        <v>15</v>
      </c>
      <c r="D15" s="237">
        <v>69</v>
      </c>
      <c r="E15" s="237">
        <v>33</v>
      </c>
      <c r="F15" s="237">
        <v>85</v>
      </c>
      <c r="G15" s="237">
        <v>77</v>
      </c>
      <c r="H15" s="237">
        <v>77</v>
      </c>
      <c r="I15" s="205">
        <f t="shared" si="3"/>
        <v>563.6666666666667</v>
      </c>
      <c r="J15" s="205">
        <v>77</v>
      </c>
      <c r="K15" s="205">
        <f t="shared" si="2"/>
        <v>29.645</v>
      </c>
      <c r="L15" s="205">
        <f>VLOOKUP(A15,'全科医生培训结算'!$A:$V,22,0)</f>
        <v>106</v>
      </c>
      <c r="M15" s="205">
        <f t="shared" si="1"/>
        <v>699.31</v>
      </c>
    </row>
    <row r="16" spans="1:13" ht="28.5" customHeight="1">
      <c r="A16" s="261" t="s">
        <v>52</v>
      </c>
      <c r="B16" s="238">
        <v>7</v>
      </c>
      <c r="C16" s="237">
        <v>10</v>
      </c>
      <c r="D16" s="237">
        <v>43</v>
      </c>
      <c r="E16" s="237">
        <v>26</v>
      </c>
      <c r="F16" s="237">
        <v>52</v>
      </c>
      <c r="G16" s="237">
        <v>34</v>
      </c>
      <c r="H16" s="237">
        <v>34</v>
      </c>
      <c r="I16" s="205">
        <f t="shared" si="3"/>
        <v>299.66666666666663</v>
      </c>
      <c r="J16" s="205">
        <v>34</v>
      </c>
      <c r="K16" s="205">
        <f t="shared" si="2"/>
        <v>13.09</v>
      </c>
      <c r="L16" s="205">
        <f>VLOOKUP(A16,'全科医生培训结算'!$A:$V,22,0)</f>
        <v>49.5</v>
      </c>
      <c r="M16" s="205">
        <f t="shared" si="1"/>
        <v>362.26</v>
      </c>
    </row>
    <row r="17" spans="1:13" ht="28.5" customHeight="1">
      <c r="A17" s="261" t="s">
        <v>55</v>
      </c>
      <c r="B17" s="238">
        <v>4</v>
      </c>
      <c r="C17" s="237">
        <v>6</v>
      </c>
      <c r="D17" s="237">
        <v>31</v>
      </c>
      <c r="E17" s="237">
        <v>20</v>
      </c>
      <c r="F17" s="237">
        <v>29</v>
      </c>
      <c r="G17" s="237">
        <v>61</v>
      </c>
      <c r="H17" s="237">
        <v>61</v>
      </c>
      <c r="I17" s="205">
        <f t="shared" si="3"/>
        <v>314.33333333333337</v>
      </c>
      <c r="J17" s="205">
        <v>61</v>
      </c>
      <c r="K17" s="205">
        <f t="shared" si="2"/>
        <v>23.485</v>
      </c>
      <c r="L17" s="205">
        <f>VLOOKUP(A17,'全科医生培训结算'!$A:$V,22,0)</f>
        <v>121.5</v>
      </c>
      <c r="M17" s="205">
        <f t="shared" si="1"/>
        <v>459.32</v>
      </c>
    </row>
    <row r="18" spans="1:13" ht="28.5" customHeight="1">
      <c r="A18" s="261" t="s">
        <v>56</v>
      </c>
      <c r="B18" s="238">
        <v>11</v>
      </c>
      <c r="C18" s="237">
        <v>8</v>
      </c>
      <c r="D18" s="237">
        <v>37</v>
      </c>
      <c r="E18" s="237">
        <v>16</v>
      </c>
      <c r="F18" s="237">
        <v>34</v>
      </c>
      <c r="G18" s="237">
        <v>33</v>
      </c>
      <c r="H18" s="237">
        <v>33</v>
      </c>
      <c r="I18" s="205">
        <f t="shared" si="3"/>
        <v>268.66666666666663</v>
      </c>
      <c r="J18" s="205">
        <v>33</v>
      </c>
      <c r="K18" s="205">
        <f t="shared" si="2"/>
        <v>12.705</v>
      </c>
      <c r="L18" s="205">
        <f>VLOOKUP(A18,'全科医生培训结算'!$A:$V,22,0)</f>
        <v>33.5</v>
      </c>
      <c r="M18" s="205">
        <f t="shared" si="1"/>
        <v>314.87</v>
      </c>
    </row>
    <row r="19" spans="1:13" ht="28.5" customHeight="1">
      <c r="A19" s="261" t="s">
        <v>57</v>
      </c>
      <c r="B19" s="238">
        <v>27</v>
      </c>
      <c r="C19" s="237">
        <v>24</v>
      </c>
      <c r="D19" s="237">
        <v>104</v>
      </c>
      <c r="E19" s="237">
        <v>52</v>
      </c>
      <c r="F19" s="237">
        <v>112</v>
      </c>
      <c r="G19" s="237">
        <v>89</v>
      </c>
      <c r="H19" s="237">
        <v>89</v>
      </c>
      <c r="I19" s="205">
        <f t="shared" si="3"/>
        <v>754.6666666666667</v>
      </c>
      <c r="J19" s="205">
        <v>89</v>
      </c>
      <c r="K19" s="205">
        <f t="shared" si="2"/>
        <v>34.265</v>
      </c>
      <c r="L19" s="205">
        <f>VLOOKUP(A19,'全科医生培训结算'!$A:$V,22,0)</f>
        <v>12</v>
      </c>
      <c r="M19" s="205">
        <f t="shared" si="1"/>
        <v>800.93</v>
      </c>
    </row>
    <row r="20" spans="1:13" ht="28.5" customHeight="1">
      <c r="A20" s="261" t="s">
        <v>58</v>
      </c>
      <c r="B20" s="240">
        <v>14</v>
      </c>
      <c r="C20" s="237">
        <v>21</v>
      </c>
      <c r="D20" s="237">
        <v>91</v>
      </c>
      <c r="E20" s="237">
        <v>42</v>
      </c>
      <c r="F20" s="237">
        <v>99</v>
      </c>
      <c r="G20" s="237">
        <v>79</v>
      </c>
      <c r="H20" s="237">
        <v>79</v>
      </c>
      <c r="I20" s="205">
        <f t="shared" si="3"/>
        <v>632</v>
      </c>
      <c r="J20" s="205">
        <v>79</v>
      </c>
      <c r="K20" s="205">
        <f t="shared" si="2"/>
        <v>30.415</v>
      </c>
      <c r="L20" s="205">
        <f>VLOOKUP(A20,'全科医生培训结算'!$A:$V,22,0)</f>
        <v>77.5</v>
      </c>
      <c r="M20" s="205">
        <f t="shared" si="1"/>
        <v>739.92</v>
      </c>
    </row>
    <row r="21" spans="1:13" ht="28.5" customHeight="1">
      <c r="A21" s="261" t="s">
        <v>59</v>
      </c>
      <c r="B21" s="240">
        <v>10</v>
      </c>
      <c r="C21" s="237">
        <v>14</v>
      </c>
      <c r="D21" s="237">
        <v>59</v>
      </c>
      <c r="E21" s="237">
        <v>28</v>
      </c>
      <c r="F21" s="237">
        <v>67</v>
      </c>
      <c r="G21" s="237">
        <v>52</v>
      </c>
      <c r="H21" s="237">
        <v>52</v>
      </c>
      <c r="I21" s="205">
        <f t="shared" si="3"/>
        <v>418.6666666666667</v>
      </c>
      <c r="J21" s="205">
        <v>52</v>
      </c>
      <c r="K21" s="205">
        <f t="shared" si="2"/>
        <v>20.02</v>
      </c>
      <c r="L21" s="205">
        <f>VLOOKUP(A21,'全科医生培训结算'!$A:$V,22,0)</f>
        <v>74</v>
      </c>
      <c r="M21" s="205">
        <f t="shared" si="1"/>
        <v>512.69</v>
      </c>
    </row>
    <row r="22" spans="1:13" ht="28.5" customHeight="1">
      <c r="A22" s="261" t="s">
        <v>60</v>
      </c>
      <c r="B22" s="238">
        <v>9</v>
      </c>
      <c r="C22" s="237">
        <v>13</v>
      </c>
      <c r="D22" s="237">
        <v>55</v>
      </c>
      <c r="E22" s="237">
        <v>28</v>
      </c>
      <c r="F22" s="237">
        <v>43</v>
      </c>
      <c r="G22" s="237">
        <v>50</v>
      </c>
      <c r="H22" s="237">
        <v>50</v>
      </c>
      <c r="I22" s="205">
        <f t="shared" si="3"/>
        <v>382.66666666666663</v>
      </c>
      <c r="J22" s="205">
        <v>50</v>
      </c>
      <c r="K22" s="205">
        <f t="shared" si="2"/>
        <v>19.25</v>
      </c>
      <c r="L22" s="205">
        <f>VLOOKUP(A22,'全科医生培训结算'!$A:$V,22,0)</f>
        <v>91.5</v>
      </c>
      <c r="M22" s="205">
        <f t="shared" si="1"/>
        <v>493.42</v>
      </c>
    </row>
    <row r="23" spans="1:13" ht="28.5" customHeight="1">
      <c r="A23" s="261" t="s">
        <v>61</v>
      </c>
      <c r="B23" s="238">
        <v>7</v>
      </c>
      <c r="C23" s="237">
        <v>9</v>
      </c>
      <c r="D23" s="237">
        <v>38</v>
      </c>
      <c r="E23" s="237">
        <v>20</v>
      </c>
      <c r="F23" s="237">
        <v>37</v>
      </c>
      <c r="G23" s="237">
        <v>33</v>
      </c>
      <c r="H23" s="237">
        <v>33</v>
      </c>
      <c r="I23" s="205">
        <f t="shared" si="3"/>
        <v>267.66666666666663</v>
      </c>
      <c r="J23" s="205">
        <v>33</v>
      </c>
      <c r="K23" s="205">
        <f t="shared" si="2"/>
        <v>12.705</v>
      </c>
      <c r="L23" s="205">
        <f>VLOOKUP(A23,'全科医生培训结算'!$A:$V,22,0)</f>
        <v>12.5</v>
      </c>
      <c r="M23" s="205">
        <f t="shared" si="1"/>
        <v>292.87</v>
      </c>
    </row>
    <row r="24" spans="1:13" ht="28.5" customHeight="1">
      <c r="A24" s="261" t="s">
        <v>62</v>
      </c>
      <c r="B24" s="238">
        <v>13</v>
      </c>
      <c r="C24" s="237">
        <v>20</v>
      </c>
      <c r="D24" s="237">
        <v>88</v>
      </c>
      <c r="E24" s="237">
        <v>42</v>
      </c>
      <c r="F24" s="237">
        <v>103</v>
      </c>
      <c r="G24" s="237">
        <v>71</v>
      </c>
      <c r="H24" s="237">
        <v>71</v>
      </c>
      <c r="I24" s="205">
        <f t="shared" si="3"/>
        <v>598.6666666666667</v>
      </c>
      <c r="J24" s="205">
        <v>71</v>
      </c>
      <c r="K24" s="205">
        <f t="shared" si="2"/>
        <v>27.335</v>
      </c>
      <c r="L24" s="205">
        <f>VLOOKUP(A24,'全科医生培训结算'!$A:$V,22,0)</f>
        <v>11</v>
      </c>
      <c r="M24" s="205">
        <f t="shared" si="1"/>
        <v>637</v>
      </c>
    </row>
    <row r="25" spans="1:13" ht="28.5" customHeight="1">
      <c r="A25" s="261" t="s">
        <v>63</v>
      </c>
      <c r="B25" s="240">
        <v>10</v>
      </c>
      <c r="C25" s="237">
        <v>8</v>
      </c>
      <c r="D25" s="237">
        <v>36</v>
      </c>
      <c r="E25" s="237">
        <v>18</v>
      </c>
      <c r="F25" s="237">
        <v>69</v>
      </c>
      <c r="G25" s="237">
        <v>30</v>
      </c>
      <c r="H25" s="237">
        <v>30</v>
      </c>
      <c r="I25" s="205">
        <f t="shared" si="3"/>
        <v>280</v>
      </c>
      <c r="J25" s="205">
        <v>30</v>
      </c>
      <c r="K25" s="205">
        <f t="shared" si="2"/>
        <v>11.55</v>
      </c>
      <c r="L25" s="205">
        <f>VLOOKUP(A25,'全科医生培训结算'!$A:$V,22,0)</f>
        <v>4.5</v>
      </c>
      <c r="M25" s="205">
        <f t="shared" si="1"/>
        <v>296.05</v>
      </c>
    </row>
    <row r="26" spans="1:13" ht="101.25" customHeight="1">
      <c r="A26" s="265" t="s">
        <v>247</v>
      </c>
      <c r="B26" s="265"/>
      <c r="C26" s="265"/>
      <c r="D26" s="265"/>
      <c r="E26" s="265"/>
      <c r="F26" s="265"/>
      <c r="G26" s="265"/>
      <c r="H26" s="265"/>
      <c r="I26" s="271"/>
      <c r="J26" s="265"/>
      <c r="K26" s="265"/>
      <c r="L26" s="265"/>
      <c r="M26" s="265"/>
    </row>
  </sheetData>
  <sheetProtection/>
  <mergeCells count="12">
    <mergeCell ref="A2:M2"/>
    <mergeCell ref="B4:I4"/>
    <mergeCell ref="J4:K4"/>
    <mergeCell ref="C5:D5"/>
    <mergeCell ref="E5:H5"/>
    <mergeCell ref="A26:M26"/>
    <mergeCell ref="A4:A6"/>
    <mergeCell ref="I5:I6"/>
    <mergeCell ref="J5:J6"/>
    <mergeCell ref="K5:K6"/>
    <mergeCell ref="L4:L6"/>
    <mergeCell ref="M4:M6"/>
  </mergeCells>
  <printOptions horizontalCentered="1"/>
  <pageMargins left="0.4722222222222222" right="0.4722222222222222" top="0.5902777777777778" bottom="0.7868055555555555" header="0.3145833333333333" footer="0.3145833333333333"/>
  <pageSetup fitToHeight="0" fitToWidth="1" horizontalDpi="600" verticalDpi="600" orientation="landscape" paperSize="9" scale="58"/>
</worksheet>
</file>

<file path=xl/worksheets/sheet5.xml><?xml version="1.0" encoding="utf-8"?>
<worksheet xmlns="http://schemas.openxmlformats.org/spreadsheetml/2006/main" xmlns:r="http://schemas.openxmlformats.org/officeDocument/2006/relationships">
  <sheetPr>
    <pageSetUpPr fitToPage="1"/>
  </sheetPr>
  <dimension ref="A1:V23"/>
  <sheetViews>
    <sheetView zoomScale="70" zoomScaleNormal="70" zoomScaleSheetLayoutView="100" workbookViewId="0" topLeftCell="A1">
      <selection activeCell="J11" sqref="J11"/>
    </sheetView>
  </sheetViews>
  <sheetFormatPr defaultColWidth="9.00390625" defaultRowHeight="15"/>
  <cols>
    <col min="1" max="1" width="22.8515625" style="220" customWidth="1"/>
    <col min="2" max="5" width="12.140625" style="221" customWidth="1"/>
    <col min="6" max="7" width="10.421875" style="221" customWidth="1"/>
    <col min="8" max="8" width="12.421875" style="221" customWidth="1"/>
    <col min="9" max="9" width="12.140625" style="221" customWidth="1"/>
    <col min="10" max="10" width="25.8515625" style="221" customWidth="1"/>
    <col min="11" max="11" width="15.8515625" style="221" customWidth="1"/>
    <col min="12" max="12" width="18.28125" style="221" customWidth="1"/>
    <col min="13" max="14" width="10.421875" style="221" customWidth="1"/>
    <col min="15" max="15" width="12.421875" style="221" customWidth="1"/>
    <col min="16" max="16" width="12.00390625" style="221" customWidth="1"/>
    <col min="17" max="18" width="10.421875" style="221" customWidth="1"/>
    <col min="19" max="19" width="12.00390625" style="221" customWidth="1"/>
    <col min="20" max="20" width="12.421875" style="221" customWidth="1"/>
    <col min="21" max="21" width="31.421875" style="43" customWidth="1"/>
    <col min="22" max="22" width="25.00390625" style="151" customWidth="1"/>
    <col min="23" max="16384" width="9.00390625" style="151" customWidth="1"/>
  </cols>
  <sheetData>
    <row r="1" spans="1:22" ht="27" customHeight="1">
      <c r="A1" s="222" t="s">
        <v>248</v>
      </c>
      <c r="B1" s="223"/>
      <c r="C1" s="223"/>
      <c r="D1" s="223"/>
      <c r="E1" s="223"/>
      <c r="F1" s="224"/>
      <c r="G1" s="224"/>
      <c r="H1" s="224"/>
      <c r="I1" s="224"/>
      <c r="J1" s="224"/>
      <c r="K1" s="224"/>
      <c r="L1" s="224"/>
      <c r="M1" s="224"/>
      <c r="N1" s="224"/>
      <c r="O1" s="224"/>
      <c r="P1" s="224"/>
      <c r="Q1" s="224"/>
      <c r="R1" s="224"/>
      <c r="S1" s="224"/>
      <c r="T1" s="224"/>
      <c r="U1" s="245"/>
      <c r="V1" s="246"/>
    </row>
    <row r="2" spans="1:22" ht="45.75" customHeight="1">
      <c r="A2" s="225" t="s">
        <v>249</v>
      </c>
      <c r="B2" s="226"/>
      <c r="C2" s="226"/>
      <c r="D2" s="226"/>
      <c r="E2" s="226"/>
      <c r="F2" s="226"/>
      <c r="G2" s="226"/>
      <c r="H2" s="226"/>
      <c r="I2" s="226"/>
      <c r="J2" s="226"/>
      <c r="K2" s="226"/>
      <c r="L2" s="226"/>
      <c r="M2" s="226"/>
      <c r="N2" s="226"/>
      <c r="O2" s="226"/>
      <c r="P2" s="226"/>
      <c r="Q2" s="226"/>
      <c r="R2" s="226"/>
      <c r="S2" s="226"/>
      <c r="T2" s="226"/>
      <c r="U2" s="226"/>
      <c r="V2" s="246"/>
    </row>
    <row r="3" spans="1:22" s="218" customFormat="1" ht="23.25" customHeight="1">
      <c r="A3" s="227"/>
      <c r="B3" s="228"/>
      <c r="C3" s="228"/>
      <c r="D3" s="228"/>
      <c r="E3" s="228"/>
      <c r="F3" s="228"/>
      <c r="G3" s="228"/>
      <c r="H3" s="228"/>
      <c r="I3" s="228"/>
      <c r="J3" s="228"/>
      <c r="K3" s="228"/>
      <c r="L3" s="228"/>
      <c r="M3" s="228"/>
      <c r="N3" s="228"/>
      <c r="O3" s="228"/>
      <c r="P3" s="228"/>
      <c r="Q3" s="228"/>
      <c r="R3" s="228"/>
      <c r="S3" s="228"/>
      <c r="T3" s="228"/>
      <c r="U3" s="228"/>
      <c r="V3" s="247" t="s">
        <v>2</v>
      </c>
    </row>
    <row r="4" spans="1:22" s="219" customFormat="1" ht="27.75" customHeight="1">
      <c r="A4" s="229" t="s">
        <v>228</v>
      </c>
      <c r="B4" s="230" t="s">
        <v>250</v>
      </c>
      <c r="C4" s="231"/>
      <c r="D4" s="231"/>
      <c r="E4" s="231"/>
      <c r="F4" s="231"/>
      <c r="G4" s="231"/>
      <c r="H4" s="231"/>
      <c r="I4" s="231"/>
      <c r="J4" s="231"/>
      <c r="K4" s="231"/>
      <c r="L4" s="231"/>
      <c r="M4" s="230" t="s">
        <v>251</v>
      </c>
      <c r="N4" s="231"/>
      <c r="O4" s="231"/>
      <c r="P4" s="231"/>
      <c r="Q4" s="231"/>
      <c r="R4" s="231"/>
      <c r="S4" s="231"/>
      <c r="T4" s="231"/>
      <c r="U4" s="231"/>
      <c r="V4" s="229" t="s">
        <v>107</v>
      </c>
    </row>
    <row r="5" spans="1:22" s="219" customFormat="1" ht="43.5" customHeight="1">
      <c r="A5" s="232"/>
      <c r="B5" s="232" t="s">
        <v>252</v>
      </c>
      <c r="C5" s="233"/>
      <c r="D5" s="233"/>
      <c r="E5" s="233"/>
      <c r="F5" s="229" t="s">
        <v>253</v>
      </c>
      <c r="G5" s="229"/>
      <c r="H5" s="229"/>
      <c r="I5" s="232"/>
      <c r="J5" s="229" t="s">
        <v>254</v>
      </c>
      <c r="K5" s="229" t="s">
        <v>255</v>
      </c>
      <c r="L5" s="229" t="s">
        <v>256</v>
      </c>
      <c r="M5" s="241" t="s">
        <v>257</v>
      </c>
      <c r="N5" s="229"/>
      <c r="O5" s="229"/>
      <c r="P5" s="229"/>
      <c r="Q5" s="229" t="s">
        <v>258</v>
      </c>
      <c r="R5" s="229"/>
      <c r="S5" s="229"/>
      <c r="T5" s="229"/>
      <c r="U5" s="232" t="s">
        <v>259</v>
      </c>
      <c r="V5" s="229"/>
    </row>
    <row r="6" spans="1:22" s="219" customFormat="1" ht="42" customHeight="1">
      <c r="A6" s="232"/>
      <c r="B6" s="229" t="s">
        <v>237</v>
      </c>
      <c r="C6" s="229" t="s">
        <v>238</v>
      </c>
      <c r="D6" s="229" t="s">
        <v>239</v>
      </c>
      <c r="E6" s="229" t="s">
        <v>240</v>
      </c>
      <c r="F6" s="229" t="s">
        <v>237</v>
      </c>
      <c r="G6" s="229" t="s">
        <v>238</v>
      </c>
      <c r="H6" s="229" t="s">
        <v>239</v>
      </c>
      <c r="I6" s="232" t="s">
        <v>240</v>
      </c>
      <c r="J6" s="229"/>
      <c r="K6" s="229"/>
      <c r="L6" s="229"/>
      <c r="M6" s="241" t="s">
        <v>237</v>
      </c>
      <c r="N6" s="229" t="s">
        <v>238</v>
      </c>
      <c r="O6" s="229" t="s">
        <v>239</v>
      </c>
      <c r="P6" s="229" t="s">
        <v>240</v>
      </c>
      <c r="Q6" s="229" t="s">
        <v>237</v>
      </c>
      <c r="R6" s="229" t="s">
        <v>238</v>
      </c>
      <c r="S6" s="229" t="s">
        <v>239</v>
      </c>
      <c r="T6" s="229" t="s">
        <v>240</v>
      </c>
      <c r="U6" s="232"/>
      <c r="V6" s="229"/>
    </row>
    <row r="7" spans="1:22" s="148" customFormat="1" ht="81" customHeight="1">
      <c r="A7" s="234" t="s">
        <v>241</v>
      </c>
      <c r="B7" s="235" t="s">
        <v>209</v>
      </c>
      <c r="C7" s="235" t="s">
        <v>210</v>
      </c>
      <c r="D7" s="235" t="s">
        <v>211</v>
      </c>
      <c r="E7" s="235" t="s">
        <v>212</v>
      </c>
      <c r="F7" s="235" t="s">
        <v>213</v>
      </c>
      <c r="G7" s="235" t="s">
        <v>214</v>
      </c>
      <c r="H7" s="235" t="s">
        <v>260</v>
      </c>
      <c r="I7" s="235" t="s">
        <v>216</v>
      </c>
      <c r="J7" s="235" t="s">
        <v>261</v>
      </c>
      <c r="K7" s="235" t="s">
        <v>218</v>
      </c>
      <c r="L7" s="235" t="s">
        <v>262</v>
      </c>
      <c r="M7" s="242" t="s">
        <v>220</v>
      </c>
      <c r="N7" s="242" t="s">
        <v>263</v>
      </c>
      <c r="O7" s="242" t="s">
        <v>222</v>
      </c>
      <c r="P7" s="242" t="s">
        <v>264</v>
      </c>
      <c r="Q7" s="242" t="s">
        <v>265</v>
      </c>
      <c r="R7" s="242" t="s">
        <v>266</v>
      </c>
      <c r="S7" s="242" t="s">
        <v>267</v>
      </c>
      <c r="T7" s="235" t="s">
        <v>268</v>
      </c>
      <c r="U7" s="202" t="s">
        <v>269</v>
      </c>
      <c r="V7" s="248" t="s">
        <v>270</v>
      </c>
    </row>
    <row r="8" spans="1:22" s="148" customFormat="1" ht="40.5" customHeight="1">
      <c r="A8" s="229" t="s">
        <v>4</v>
      </c>
      <c r="B8" s="236">
        <f aca="true" t="shared" si="0" ref="B8:M8">SUM(B9:B23)</f>
        <v>180</v>
      </c>
      <c r="C8" s="236">
        <f t="shared" si="0"/>
        <v>900</v>
      </c>
      <c r="D8" s="236">
        <f t="shared" si="0"/>
        <v>2250</v>
      </c>
      <c r="E8" s="236">
        <f t="shared" si="0"/>
        <v>2250</v>
      </c>
      <c r="F8" s="236">
        <f t="shared" si="0"/>
        <v>222</v>
      </c>
      <c r="G8" s="236">
        <f t="shared" si="0"/>
        <v>841</v>
      </c>
      <c r="H8" s="236">
        <f t="shared" si="0"/>
        <v>1984</v>
      </c>
      <c r="I8" s="236">
        <f t="shared" si="0"/>
        <v>2826</v>
      </c>
      <c r="J8" s="243">
        <f t="shared" si="0"/>
        <v>52</v>
      </c>
      <c r="K8" s="243">
        <f t="shared" si="0"/>
        <v>32</v>
      </c>
      <c r="L8" s="243">
        <f t="shared" si="0"/>
        <v>20</v>
      </c>
      <c r="M8" s="236">
        <f t="shared" si="0"/>
        <v>180</v>
      </c>
      <c r="N8" s="236">
        <f aca="true" t="shared" si="1" ref="N8:U8">SUM(N9:N23)</f>
        <v>900</v>
      </c>
      <c r="O8" s="236">
        <f t="shared" si="1"/>
        <v>1125</v>
      </c>
      <c r="P8" s="236">
        <f t="shared" si="1"/>
        <v>1125</v>
      </c>
      <c r="Q8" s="236">
        <f t="shared" si="1"/>
        <v>199</v>
      </c>
      <c r="R8" s="236">
        <f t="shared" si="1"/>
        <v>871</v>
      </c>
      <c r="S8" s="236">
        <f t="shared" si="1"/>
        <v>1197</v>
      </c>
      <c r="T8" s="236">
        <f t="shared" si="1"/>
        <v>1533</v>
      </c>
      <c r="U8" s="243">
        <f t="shared" si="1"/>
        <v>551</v>
      </c>
      <c r="V8" s="243">
        <f>ROUND(SUM(V9:V23),2)</f>
        <v>571</v>
      </c>
    </row>
    <row r="9" spans="1:22" ht="40.5" customHeight="1">
      <c r="A9" s="202" t="s">
        <v>46</v>
      </c>
      <c r="B9" s="237">
        <v>16</v>
      </c>
      <c r="C9" s="237">
        <v>82</v>
      </c>
      <c r="D9" s="237">
        <v>206</v>
      </c>
      <c r="E9" s="237">
        <v>206</v>
      </c>
      <c r="F9" s="238">
        <v>23</v>
      </c>
      <c r="G9" s="238">
        <v>40</v>
      </c>
      <c r="H9" s="239">
        <v>163</v>
      </c>
      <c r="I9" s="239">
        <v>475</v>
      </c>
      <c r="J9" s="205">
        <f>(F9-B9)*3+(G9-C9)*2+(H9-D9)*2+(I9-E9)*1</f>
        <v>120</v>
      </c>
      <c r="K9" s="205">
        <v>118</v>
      </c>
      <c r="L9" s="205">
        <f>J9-K9</f>
        <v>2</v>
      </c>
      <c r="M9" s="237">
        <v>16</v>
      </c>
      <c r="N9" s="244">
        <v>82</v>
      </c>
      <c r="O9" s="244">
        <v>103</v>
      </c>
      <c r="P9" s="244">
        <v>103</v>
      </c>
      <c r="Q9" s="238">
        <v>17</v>
      </c>
      <c r="R9" s="238">
        <v>38</v>
      </c>
      <c r="S9" s="239">
        <v>61</v>
      </c>
      <c r="T9" s="239">
        <v>191</v>
      </c>
      <c r="U9" s="249">
        <f>(Q9-M9)*3+(R9-N9)*2+(S9-O9)*2+(T9-P9)*1</f>
        <v>-81</v>
      </c>
      <c r="V9" s="250">
        <f>ROUND(L9+U9,2)</f>
        <v>-79</v>
      </c>
    </row>
    <row r="10" spans="1:22" ht="40.5" customHeight="1">
      <c r="A10" s="202" t="s">
        <v>48</v>
      </c>
      <c r="B10" s="237">
        <v>9</v>
      </c>
      <c r="C10" s="237">
        <v>44</v>
      </c>
      <c r="D10" s="237">
        <v>109</v>
      </c>
      <c r="E10" s="237">
        <v>109</v>
      </c>
      <c r="F10" s="238">
        <v>19</v>
      </c>
      <c r="G10" s="238">
        <v>40</v>
      </c>
      <c r="H10" s="239">
        <v>94</v>
      </c>
      <c r="I10" s="239">
        <v>119</v>
      </c>
      <c r="J10" s="205">
        <f aca="true" t="shared" si="2" ref="J10:J23">(F10-B10)*3+(G10-C10)*2+(H10-D10)*2+(I10-E10)*1</f>
        <v>2</v>
      </c>
      <c r="K10" s="205">
        <v>-2</v>
      </c>
      <c r="L10" s="205">
        <f aca="true" t="shared" si="3" ref="L10:L23">J10-K10</f>
        <v>4</v>
      </c>
      <c r="M10" s="237">
        <v>9</v>
      </c>
      <c r="N10" s="244">
        <v>44</v>
      </c>
      <c r="O10" s="244">
        <v>54.5</v>
      </c>
      <c r="P10" s="244">
        <v>54.5</v>
      </c>
      <c r="Q10" s="238">
        <v>11</v>
      </c>
      <c r="R10" s="238">
        <v>45</v>
      </c>
      <c r="S10" s="239">
        <v>51</v>
      </c>
      <c r="T10" s="239">
        <v>65</v>
      </c>
      <c r="U10" s="249">
        <f aca="true" t="shared" si="4" ref="U10:U23">(Q10-M10)*3+(R10-N10)*2+(S10-O10)*2+(T10-P10)*1</f>
        <v>11.5</v>
      </c>
      <c r="V10" s="250">
        <f aca="true" t="shared" si="5" ref="V10:V23">ROUND(L10+U10,2)</f>
        <v>15.5</v>
      </c>
    </row>
    <row r="11" spans="1:22" ht="40.5" customHeight="1">
      <c r="A11" s="202" t="s">
        <v>49</v>
      </c>
      <c r="B11" s="237">
        <v>9</v>
      </c>
      <c r="C11" s="237">
        <v>45</v>
      </c>
      <c r="D11" s="237">
        <v>130</v>
      </c>
      <c r="E11" s="237">
        <v>130</v>
      </c>
      <c r="F11" s="238">
        <v>0</v>
      </c>
      <c r="G11" s="238">
        <v>76</v>
      </c>
      <c r="H11" s="239">
        <v>46</v>
      </c>
      <c r="I11" s="239">
        <v>158</v>
      </c>
      <c r="J11" s="205">
        <f t="shared" si="2"/>
        <v>-105</v>
      </c>
      <c r="K11" s="205">
        <v>-55</v>
      </c>
      <c r="L11" s="205">
        <f t="shared" si="3"/>
        <v>-50</v>
      </c>
      <c r="M11" s="237">
        <v>9</v>
      </c>
      <c r="N11" s="244">
        <v>45</v>
      </c>
      <c r="O11" s="244">
        <v>65</v>
      </c>
      <c r="P11" s="244">
        <v>65</v>
      </c>
      <c r="Q11" s="238">
        <v>19</v>
      </c>
      <c r="R11" s="238">
        <v>55</v>
      </c>
      <c r="S11" s="239">
        <v>52</v>
      </c>
      <c r="T11" s="239">
        <v>90</v>
      </c>
      <c r="U11" s="249">
        <f t="shared" si="4"/>
        <v>49</v>
      </c>
      <c r="V11" s="250">
        <f t="shared" si="5"/>
        <v>-1</v>
      </c>
    </row>
    <row r="12" spans="1:22" ht="40.5" customHeight="1">
      <c r="A12" s="202" t="s">
        <v>50</v>
      </c>
      <c r="B12" s="237">
        <v>13</v>
      </c>
      <c r="C12" s="237">
        <v>64</v>
      </c>
      <c r="D12" s="237">
        <v>160</v>
      </c>
      <c r="E12" s="237">
        <v>160</v>
      </c>
      <c r="F12" s="238">
        <v>26</v>
      </c>
      <c r="G12" s="238">
        <v>42</v>
      </c>
      <c r="H12" s="239">
        <v>210</v>
      </c>
      <c r="I12" s="239">
        <v>149</v>
      </c>
      <c r="J12" s="205">
        <f t="shared" si="2"/>
        <v>84</v>
      </c>
      <c r="K12" s="205">
        <v>88</v>
      </c>
      <c r="L12" s="205">
        <f t="shared" si="3"/>
        <v>-4</v>
      </c>
      <c r="M12" s="237">
        <v>13</v>
      </c>
      <c r="N12" s="244">
        <v>64</v>
      </c>
      <c r="O12" s="244">
        <v>80</v>
      </c>
      <c r="P12" s="244">
        <v>80</v>
      </c>
      <c r="Q12" s="238">
        <v>20</v>
      </c>
      <c r="R12" s="238">
        <v>86</v>
      </c>
      <c r="S12" s="239">
        <v>76</v>
      </c>
      <c r="T12" s="239">
        <v>69</v>
      </c>
      <c r="U12" s="249">
        <f t="shared" si="4"/>
        <v>46</v>
      </c>
      <c r="V12" s="250">
        <f t="shared" si="5"/>
        <v>42</v>
      </c>
    </row>
    <row r="13" spans="1:22" ht="40.5" customHeight="1">
      <c r="A13" s="202" t="s">
        <v>51</v>
      </c>
      <c r="B13" s="237">
        <v>14</v>
      </c>
      <c r="C13" s="237">
        <v>71</v>
      </c>
      <c r="D13" s="237">
        <v>156</v>
      </c>
      <c r="E13" s="237">
        <v>156</v>
      </c>
      <c r="F13" s="238">
        <v>13</v>
      </c>
      <c r="G13" s="238">
        <v>93</v>
      </c>
      <c r="H13" s="239">
        <v>123</v>
      </c>
      <c r="I13" s="239">
        <v>160</v>
      </c>
      <c r="J13" s="205">
        <f t="shared" si="2"/>
        <v>-21</v>
      </c>
      <c r="K13" s="205">
        <v>-83</v>
      </c>
      <c r="L13" s="205">
        <f t="shared" si="3"/>
        <v>62</v>
      </c>
      <c r="M13" s="237">
        <v>14</v>
      </c>
      <c r="N13" s="244">
        <v>71</v>
      </c>
      <c r="O13" s="244">
        <v>78</v>
      </c>
      <c r="P13" s="244">
        <v>78</v>
      </c>
      <c r="Q13" s="238">
        <v>20</v>
      </c>
      <c r="R13" s="238">
        <v>65</v>
      </c>
      <c r="S13" s="239">
        <v>99</v>
      </c>
      <c r="T13" s="239">
        <v>74</v>
      </c>
      <c r="U13" s="249">
        <f t="shared" si="4"/>
        <v>44</v>
      </c>
      <c r="V13" s="250">
        <f t="shared" si="5"/>
        <v>106</v>
      </c>
    </row>
    <row r="14" spans="1:22" ht="40.5" customHeight="1">
      <c r="A14" s="202" t="s">
        <v>52</v>
      </c>
      <c r="B14" s="237">
        <v>9</v>
      </c>
      <c r="C14" s="237">
        <v>44</v>
      </c>
      <c r="D14" s="237">
        <v>109</v>
      </c>
      <c r="E14" s="237">
        <v>109</v>
      </c>
      <c r="F14" s="238">
        <v>14</v>
      </c>
      <c r="G14" s="238">
        <v>27</v>
      </c>
      <c r="H14" s="239">
        <v>92</v>
      </c>
      <c r="I14" s="239">
        <v>101</v>
      </c>
      <c r="J14" s="205">
        <f t="shared" si="2"/>
        <v>-61</v>
      </c>
      <c r="K14" s="205">
        <v>-62</v>
      </c>
      <c r="L14" s="205">
        <f t="shared" si="3"/>
        <v>1</v>
      </c>
      <c r="M14" s="237">
        <v>9</v>
      </c>
      <c r="N14" s="244">
        <v>44</v>
      </c>
      <c r="O14" s="244">
        <v>54.5</v>
      </c>
      <c r="P14" s="244">
        <v>54.5</v>
      </c>
      <c r="Q14" s="238">
        <v>7</v>
      </c>
      <c r="R14" s="238">
        <v>58</v>
      </c>
      <c r="S14" s="239">
        <v>69</v>
      </c>
      <c r="T14" s="239">
        <v>52</v>
      </c>
      <c r="U14" s="249">
        <f t="shared" si="4"/>
        <v>48.5</v>
      </c>
      <c r="V14" s="250">
        <f t="shared" si="5"/>
        <v>49.5</v>
      </c>
    </row>
    <row r="15" spans="1:22" ht="40.5" customHeight="1">
      <c r="A15" s="202" t="s">
        <v>55</v>
      </c>
      <c r="B15" s="237">
        <v>7</v>
      </c>
      <c r="C15" s="237">
        <v>32</v>
      </c>
      <c r="D15" s="237">
        <v>79</v>
      </c>
      <c r="E15" s="237">
        <v>79</v>
      </c>
      <c r="F15" s="238">
        <v>8</v>
      </c>
      <c r="G15" s="238">
        <v>20</v>
      </c>
      <c r="H15" s="239">
        <v>188</v>
      </c>
      <c r="I15" s="239">
        <v>3</v>
      </c>
      <c r="J15" s="205">
        <f t="shared" si="2"/>
        <v>121</v>
      </c>
      <c r="K15" s="205">
        <v>126</v>
      </c>
      <c r="L15" s="205">
        <f t="shared" si="3"/>
        <v>-5</v>
      </c>
      <c r="M15" s="237">
        <v>7</v>
      </c>
      <c r="N15" s="244">
        <v>32</v>
      </c>
      <c r="O15" s="244">
        <v>39.5</v>
      </c>
      <c r="P15" s="244">
        <v>39.5</v>
      </c>
      <c r="Q15" s="238">
        <v>4</v>
      </c>
      <c r="R15" s="238">
        <v>21</v>
      </c>
      <c r="S15" s="239">
        <v>137</v>
      </c>
      <c r="T15" s="239">
        <v>2</v>
      </c>
      <c r="U15" s="249">
        <f t="shared" si="4"/>
        <v>126.5</v>
      </c>
      <c r="V15" s="250">
        <f t="shared" si="5"/>
        <v>121.5</v>
      </c>
    </row>
    <row r="16" spans="1:22" ht="40.5" customHeight="1">
      <c r="A16" s="202" t="s">
        <v>56</v>
      </c>
      <c r="B16" s="237">
        <v>7</v>
      </c>
      <c r="C16" s="237">
        <v>37</v>
      </c>
      <c r="D16" s="237">
        <v>81</v>
      </c>
      <c r="E16" s="237">
        <v>81</v>
      </c>
      <c r="F16" s="238">
        <v>11</v>
      </c>
      <c r="G16" s="238">
        <v>33</v>
      </c>
      <c r="H16" s="239">
        <v>45</v>
      </c>
      <c r="I16" s="239">
        <v>144</v>
      </c>
      <c r="J16" s="205">
        <f t="shared" si="2"/>
        <v>-5</v>
      </c>
      <c r="K16" s="205">
        <v>-44</v>
      </c>
      <c r="L16" s="205">
        <f t="shared" si="3"/>
        <v>39</v>
      </c>
      <c r="M16" s="237">
        <v>7</v>
      </c>
      <c r="N16" s="244">
        <v>37</v>
      </c>
      <c r="O16" s="244">
        <v>40.5</v>
      </c>
      <c r="P16" s="244">
        <v>40.5</v>
      </c>
      <c r="Q16" s="238">
        <v>11</v>
      </c>
      <c r="R16" s="238">
        <v>33</v>
      </c>
      <c r="S16" s="239">
        <v>28</v>
      </c>
      <c r="T16" s="239">
        <v>56</v>
      </c>
      <c r="U16" s="249">
        <f t="shared" si="4"/>
        <v>-5.5</v>
      </c>
      <c r="V16" s="250">
        <f t="shared" si="5"/>
        <v>33.5</v>
      </c>
    </row>
    <row r="17" spans="1:22" ht="40.5" customHeight="1">
      <c r="A17" s="202" t="s">
        <v>57</v>
      </c>
      <c r="B17" s="237">
        <v>21</v>
      </c>
      <c r="C17" s="237">
        <v>107</v>
      </c>
      <c r="D17" s="237">
        <v>240</v>
      </c>
      <c r="E17" s="237">
        <v>240</v>
      </c>
      <c r="F17" s="238">
        <v>30</v>
      </c>
      <c r="G17" s="238">
        <v>79</v>
      </c>
      <c r="H17" s="239">
        <v>60</v>
      </c>
      <c r="I17" s="239">
        <v>498</v>
      </c>
      <c r="J17" s="205">
        <f t="shared" si="2"/>
        <v>-131</v>
      </c>
      <c r="K17" s="205">
        <v>-215</v>
      </c>
      <c r="L17" s="205">
        <f t="shared" si="3"/>
        <v>84</v>
      </c>
      <c r="M17" s="237">
        <v>21</v>
      </c>
      <c r="N17" s="244">
        <v>107</v>
      </c>
      <c r="O17" s="244">
        <v>120</v>
      </c>
      <c r="P17" s="244">
        <v>120</v>
      </c>
      <c r="Q17" s="238">
        <v>27</v>
      </c>
      <c r="R17" s="238">
        <v>67</v>
      </c>
      <c r="S17" s="239">
        <v>15</v>
      </c>
      <c r="T17" s="239">
        <v>320</v>
      </c>
      <c r="U17" s="249">
        <f t="shared" si="4"/>
        <v>-72</v>
      </c>
      <c r="V17" s="250">
        <f t="shared" si="5"/>
        <v>12</v>
      </c>
    </row>
    <row r="18" spans="1:22" ht="40.5" customHeight="1">
      <c r="A18" s="202" t="s">
        <v>58</v>
      </c>
      <c r="B18" s="237">
        <v>18</v>
      </c>
      <c r="C18" s="237">
        <v>92</v>
      </c>
      <c r="D18" s="237">
        <v>231</v>
      </c>
      <c r="E18" s="237">
        <v>231</v>
      </c>
      <c r="F18" s="240">
        <v>12</v>
      </c>
      <c r="G18" s="240">
        <v>82</v>
      </c>
      <c r="H18" s="237">
        <v>224</v>
      </c>
      <c r="I18" s="237">
        <v>286</v>
      </c>
      <c r="J18" s="205">
        <f t="shared" si="2"/>
        <v>3</v>
      </c>
      <c r="K18" s="205">
        <v>-10</v>
      </c>
      <c r="L18" s="205">
        <f t="shared" si="3"/>
        <v>13</v>
      </c>
      <c r="M18" s="237">
        <v>18</v>
      </c>
      <c r="N18" s="244">
        <v>92</v>
      </c>
      <c r="O18" s="244">
        <v>115.5</v>
      </c>
      <c r="P18" s="244">
        <v>115.5</v>
      </c>
      <c r="Q18" s="238">
        <v>14</v>
      </c>
      <c r="R18" s="238">
        <v>86</v>
      </c>
      <c r="S18" s="239">
        <v>138</v>
      </c>
      <c r="T18" s="239">
        <v>159</v>
      </c>
      <c r="U18" s="249">
        <f t="shared" si="4"/>
        <v>64.5</v>
      </c>
      <c r="V18" s="250">
        <f t="shared" si="5"/>
        <v>77.5</v>
      </c>
    </row>
    <row r="19" spans="1:22" ht="40.5" customHeight="1">
      <c r="A19" s="202" t="s">
        <v>59</v>
      </c>
      <c r="B19" s="237">
        <v>12</v>
      </c>
      <c r="C19" s="237">
        <v>61</v>
      </c>
      <c r="D19" s="237">
        <v>152</v>
      </c>
      <c r="E19" s="237">
        <v>152</v>
      </c>
      <c r="F19" s="240">
        <v>9</v>
      </c>
      <c r="G19" s="240">
        <v>74</v>
      </c>
      <c r="H19" s="237">
        <v>153</v>
      </c>
      <c r="I19" s="237">
        <v>153</v>
      </c>
      <c r="J19" s="205">
        <f t="shared" si="2"/>
        <v>20</v>
      </c>
      <c r="K19" s="205">
        <v>18</v>
      </c>
      <c r="L19" s="205">
        <f t="shared" si="3"/>
        <v>2</v>
      </c>
      <c r="M19" s="237">
        <v>12</v>
      </c>
      <c r="N19" s="244">
        <v>61</v>
      </c>
      <c r="O19" s="244">
        <v>76</v>
      </c>
      <c r="P19" s="244">
        <v>76</v>
      </c>
      <c r="Q19" s="238">
        <v>10</v>
      </c>
      <c r="R19" s="238">
        <v>86</v>
      </c>
      <c r="S19" s="239">
        <v>88</v>
      </c>
      <c r="T19" s="239">
        <v>80</v>
      </c>
      <c r="U19" s="249">
        <f t="shared" si="4"/>
        <v>72</v>
      </c>
      <c r="V19" s="250">
        <f t="shared" si="5"/>
        <v>74</v>
      </c>
    </row>
    <row r="20" spans="1:22" ht="40.5" customHeight="1">
      <c r="A20" s="202" t="s">
        <v>60</v>
      </c>
      <c r="B20" s="237">
        <v>12</v>
      </c>
      <c r="C20" s="237">
        <v>57</v>
      </c>
      <c r="D20" s="237">
        <v>143</v>
      </c>
      <c r="E20" s="237">
        <v>143</v>
      </c>
      <c r="F20" s="238">
        <v>14</v>
      </c>
      <c r="G20" s="238">
        <v>81</v>
      </c>
      <c r="H20" s="239">
        <v>142</v>
      </c>
      <c r="I20" s="239">
        <v>162</v>
      </c>
      <c r="J20" s="205">
        <f t="shared" si="2"/>
        <v>71</v>
      </c>
      <c r="K20" s="205">
        <v>78</v>
      </c>
      <c r="L20" s="205">
        <f t="shared" si="3"/>
        <v>-7</v>
      </c>
      <c r="M20" s="237">
        <v>12</v>
      </c>
      <c r="N20" s="244">
        <v>57</v>
      </c>
      <c r="O20" s="244">
        <v>71.5</v>
      </c>
      <c r="P20" s="244">
        <v>71.5</v>
      </c>
      <c r="Q20" s="238">
        <v>9</v>
      </c>
      <c r="R20" s="238">
        <v>89</v>
      </c>
      <c r="S20" s="239">
        <v>71</v>
      </c>
      <c r="T20" s="239">
        <v>116</v>
      </c>
      <c r="U20" s="249">
        <f t="shared" si="4"/>
        <v>98.5</v>
      </c>
      <c r="V20" s="250">
        <f t="shared" si="5"/>
        <v>91.5</v>
      </c>
    </row>
    <row r="21" spans="1:22" ht="40.5" customHeight="1">
      <c r="A21" s="202" t="s">
        <v>61</v>
      </c>
      <c r="B21" s="237">
        <v>8</v>
      </c>
      <c r="C21" s="237">
        <v>39</v>
      </c>
      <c r="D21" s="237">
        <v>97</v>
      </c>
      <c r="E21" s="237">
        <v>97</v>
      </c>
      <c r="F21" s="238">
        <v>9</v>
      </c>
      <c r="G21" s="238">
        <v>35</v>
      </c>
      <c r="H21" s="239">
        <v>109</v>
      </c>
      <c r="I21" s="239">
        <v>88</v>
      </c>
      <c r="J21" s="205">
        <f t="shared" si="2"/>
        <v>10</v>
      </c>
      <c r="K21" s="205">
        <v>9</v>
      </c>
      <c r="L21" s="205">
        <f t="shared" si="3"/>
        <v>1</v>
      </c>
      <c r="M21" s="237">
        <v>8</v>
      </c>
      <c r="N21" s="244">
        <v>39</v>
      </c>
      <c r="O21" s="244">
        <v>48.5</v>
      </c>
      <c r="P21" s="244">
        <v>48.5</v>
      </c>
      <c r="Q21" s="238">
        <v>7</v>
      </c>
      <c r="R21" s="238">
        <v>26</v>
      </c>
      <c r="S21" s="239">
        <v>71</v>
      </c>
      <c r="T21" s="239">
        <v>44</v>
      </c>
      <c r="U21" s="249">
        <f t="shared" si="4"/>
        <v>11.5</v>
      </c>
      <c r="V21" s="250">
        <f t="shared" si="5"/>
        <v>12.5</v>
      </c>
    </row>
    <row r="22" spans="1:22" ht="40.5" customHeight="1">
      <c r="A22" s="202" t="s">
        <v>62</v>
      </c>
      <c r="B22" s="237">
        <v>18</v>
      </c>
      <c r="C22" s="237">
        <v>88</v>
      </c>
      <c r="D22" s="237">
        <v>252</v>
      </c>
      <c r="E22" s="237">
        <v>252</v>
      </c>
      <c r="F22" s="238">
        <v>22</v>
      </c>
      <c r="G22" s="238">
        <v>90</v>
      </c>
      <c r="H22" s="239">
        <v>257</v>
      </c>
      <c r="I22" s="239">
        <v>210</v>
      </c>
      <c r="J22" s="205">
        <f t="shared" si="2"/>
        <v>-16</v>
      </c>
      <c r="K22" s="205">
        <v>68</v>
      </c>
      <c r="L22" s="205">
        <f t="shared" si="3"/>
        <v>-84</v>
      </c>
      <c r="M22" s="237">
        <v>18</v>
      </c>
      <c r="N22" s="244">
        <v>88</v>
      </c>
      <c r="O22" s="244">
        <v>126</v>
      </c>
      <c r="P22" s="244">
        <v>126</v>
      </c>
      <c r="Q22" s="238">
        <v>13</v>
      </c>
      <c r="R22" s="238">
        <v>91</v>
      </c>
      <c r="S22" s="239">
        <v>173</v>
      </c>
      <c r="T22" s="239">
        <v>136</v>
      </c>
      <c r="U22" s="249">
        <f t="shared" si="4"/>
        <v>95</v>
      </c>
      <c r="V22" s="250">
        <f t="shared" si="5"/>
        <v>11</v>
      </c>
    </row>
    <row r="23" spans="1:22" ht="40.5" customHeight="1">
      <c r="A23" s="202" t="s">
        <v>63</v>
      </c>
      <c r="B23" s="237">
        <v>7</v>
      </c>
      <c r="C23" s="237">
        <v>37</v>
      </c>
      <c r="D23" s="237">
        <v>105</v>
      </c>
      <c r="E23" s="237">
        <v>105</v>
      </c>
      <c r="F23" s="240">
        <v>12</v>
      </c>
      <c r="G23" s="240">
        <v>29</v>
      </c>
      <c r="H23" s="239">
        <v>78</v>
      </c>
      <c r="I23" s="239">
        <v>120</v>
      </c>
      <c r="J23" s="205">
        <f t="shared" si="2"/>
        <v>-40</v>
      </c>
      <c r="K23" s="205">
        <v>-2</v>
      </c>
      <c r="L23" s="205">
        <f t="shared" si="3"/>
        <v>-38</v>
      </c>
      <c r="M23" s="237">
        <v>7</v>
      </c>
      <c r="N23" s="244">
        <v>37</v>
      </c>
      <c r="O23" s="244">
        <v>52.5</v>
      </c>
      <c r="P23" s="244">
        <v>52.5</v>
      </c>
      <c r="Q23" s="238">
        <v>10</v>
      </c>
      <c r="R23" s="238">
        <v>25</v>
      </c>
      <c r="S23" s="239">
        <v>68</v>
      </c>
      <c r="T23" s="239">
        <v>79</v>
      </c>
      <c r="U23" s="249">
        <f t="shared" si="4"/>
        <v>42.5</v>
      </c>
      <c r="V23" s="250">
        <f t="shared" si="5"/>
        <v>4.5</v>
      </c>
    </row>
  </sheetData>
  <sheetProtection/>
  <mergeCells count="13">
    <mergeCell ref="A2:U2"/>
    <mergeCell ref="B4:L4"/>
    <mergeCell ref="M4:U4"/>
    <mergeCell ref="B5:E5"/>
    <mergeCell ref="F5:I5"/>
    <mergeCell ref="M5:P5"/>
    <mergeCell ref="Q5:T5"/>
    <mergeCell ref="A4:A6"/>
    <mergeCell ref="J5:J6"/>
    <mergeCell ref="K5:K6"/>
    <mergeCell ref="L5:L6"/>
    <mergeCell ref="U5:U6"/>
    <mergeCell ref="V4:V6"/>
  </mergeCells>
  <printOptions horizontalCentered="1"/>
  <pageMargins left="0.4722222222222222" right="0.4722222222222222" top="0.5902777777777778" bottom="0.7868055555555555" header="0.3145833333333333" footer="0.3145833333333333"/>
  <pageSetup fitToHeight="0" fitToWidth="1" horizontalDpi="600" verticalDpi="600" orientation="landscape" paperSize="9" scale="43"/>
</worksheet>
</file>

<file path=xl/worksheets/sheet6.xml><?xml version="1.0" encoding="utf-8"?>
<worksheet xmlns="http://schemas.openxmlformats.org/spreadsheetml/2006/main" xmlns:r="http://schemas.openxmlformats.org/officeDocument/2006/relationships">
  <sheetPr>
    <pageSetUpPr fitToPage="1"/>
  </sheetPr>
  <dimension ref="A1:IU19"/>
  <sheetViews>
    <sheetView zoomScale="70" zoomScaleNormal="70" zoomScaleSheetLayoutView="100" workbookViewId="0" topLeftCell="A2">
      <selection activeCell="G15" sqref="G15"/>
    </sheetView>
  </sheetViews>
  <sheetFormatPr defaultColWidth="9.00390625" defaultRowHeight="15"/>
  <cols>
    <col min="1" max="1" width="19.421875" style="192" customWidth="1"/>
    <col min="2" max="2" width="34.8515625" style="35" customWidth="1"/>
    <col min="3" max="3" width="13.28125" style="35" customWidth="1"/>
    <col min="4" max="4" width="12.421875" style="35" customWidth="1"/>
    <col min="5" max="7" width="9.00390625" style="35" customWidth="1"/>
    <col min="8" max="8" width="12.8515625" style="35" customWidth="1"/>
    <col min="9" max="11" width="9.00390625" style="192" customWidth="1"/>
    <col min="12" max="12" width="11.421875" style="192" customWidth="1"/>
    <col min="13" max="13" width="11.7109375" style="192" customWidth="1"/>
    <col min="14" max="15" width="19.140625" style="192" customWidth="1"/>
    <col min="16" max="16" width="17.421875" style="192" customWidth="1"/>
    <col min="17" max="17" width="15.8515625" style="192" customWidth="1"/>
    <col min="18" max="18" width="14.7109375" style="192" customWidth="1"/>
    <col min="19" max="19" width="23.00390625" style="192" customWidth="1"/>
    <col min="20" max="21" width="13.28125" style="192" hidden="1" customWidth="1"/>
    <col min="22" max="22" width="9.00390625" style="192" hidden="1" customWidth="1"/>
    <col min="23" max="255" width="9.00390625" style="192" customWidth="1"/>
    <col min="256" max="256" width="9.00390625" style="151" customWidth="1"/>
  </cols>
  <sheetData>
    <row r="1" spans="1:2" ht="28.5" customHeight="1">
      <c r="A1" s="154" t="s">
        <v>271</v>
      </c>
      <c r="B1" s="154"/>
    </row>
    <row r="2" spans="1:19" ht="40.5" customHeight="1">
      <c r="A2" s="194" t="s">
        <v>272</v>
      </c>
      <c r="B2" s="194"/>
      <c r="C2" s="194"/>
      <c r="D2" s="194"/>
      <c r="E2" s="194"/>
      <c r="F2" s="194"/>
      <c r="G2" s="194"/>
      <c r="H2" s="194"/>
      <c r="I2" s="194"/>
      <c r="J2" s="194"/>
      <c r="K2" s="194"/>
      <c r="L2" s="194"/>
      <c r="M2" s="194"/>
      <c r="N2" s="194"/>
      <c r="O2" s="194"/>
      <c r="P2" s="194"/>
      <c r="Q2" s="194"/>
      <c r="R2" s="194"/>
      <c r="S2" s="194"/>
    </row>
    <row r="3" spans="2:19" ht="26.25" customHeight="1">
      <c r="B3" s="156"/>
      <c r="C3" s="156"/>
      <c r="D3" s="156"/>
      <c r="E3" s="156"/>
      <c r="F3" s="156"/>
      <c r="G3" s="156"/>
      <c r="H3" s="156"/>
      <c r="S3" s="214" t="s">
        <v>2</v>
      </c>
    </row>
    <row r="4" spans="1:255" s="190" customFormat="1" ht="34.5" customHeight="1">
      <c r="A4" s="195" t="s">
        <v>273</v>
      </c>
      <c r="B4" s="196" t="s">
        <v>3</v>
      </c>
      <c r="C4" s="196" t="s">
        <v>274</v>
      </c>
      <c r="D4" s="196" t="s">
        <v>275</v>
      </c>
      <c r="E4" s="197" t="s">
        <v>276</v>
      </c>
      <c r="F4" s="197"/>
      <c r="G4" s="197"/>
      <c r="H4" s="197"/>
      <c r="I4" s="207" t="s">
        <v>277</v>
      </c>
      <c r="J4" s="207"/>
      <c r="K4" s="207"/>
      <c r="L4" s="207"/>
      <c r="M4" s="207"/>
      <c r="N4" s="207"/>
      <c r="O4" s="208" t="s">
        <v>278</v>
      </c>
      <c r="P4" s="197" t="s">
        <v>279</v>
      </c>
      <c r="Q4" s="209" t="s">
        <v>280</v>
      </c>
      <c r="R4" s="209"/>
      <c r="S4" s="209"/>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c r="EU4" s="215"/>
      <c r="EV4" s="215"/>
      <c r="EW4" s="215"/>
      <c r="EX4" s="215"/>
      <c r="EY4" s="215"/>
      <c r="EZ4" s="215"/>
      <c r="FA4" s="215"/>
      <c r="FB4" s="215"/>
      <c r="FC4" s="215"/>
      <c r="FD4" s="215"/>
      <c r="FE4" s="215"/>
      <c r="FF4" s="215"/>
      <c r="FG4" s="215"/>
      <c r="FH4" s="215"/>
      <c r="FI4" s="215"/>
      <c r="FJ4" s="215"/>
      <c r="FK4" s="215"/>
      <c r="FL4" s="215"/>
      <c r="FM4" s="215"/>
      <c r="FN4" s="215"/>
      <c r="FO4" s="215"/>
      <c r="FP4" s="215"/>
      <c r="FQ4" s="215"/>
      <c r="FR4" s="215"/>
      <c r="FS4" s="215"/>
      <c r="FT4" s="215"/>
      <c r="FU4" s="215"/>
      <c r="FV4" s="215"/>
      <c r="FW4" s="215"/>
      <c r="FX4" s="215"/>
      <c r="FY4" s="215"/>
      <c r="FZ4" s="215"/>
      <c r="GA4" s="215"/>
      <c r="GB4" s="215"/>
      <c r="GC4" s="215"/>
      <c r="GD4" s="215"/>
      <c r="GE4" s="215"/>
      <c r="GF4" s="215"/>
      <c r="GG4" s="215"/>
      <c r="GH4" s="215"/>
      <c r="GI4" s="215"/>
      <c r="GJ4" s="215"/>
      <c r="GK4" s="215"/>
      <c r="GL4" s="215"/>
      <c r="GM4" s="215"/>
      <c r="GN4" s="215"/>
      <c r="GO4" s="215"/>
      <c r="GP4" s="215"/>
      <c r="GQ4" s="215"/>
      <c r="GR4" s="215"/>
      <c r="GS4" s="215"/>
      <c r="GT4" s="215"/>
      <c r="GU4" s="215"/>
      <c r="GV4" s="215"/>
      <c r="GW4" s="215"/>
      <c r="GX4" s="215"/>
      <c r="GY4" s="215"/>
      <c r="GZ4" s="215"/>
      <c r="HA4" s="215"/>
      <c r="HB4" s="215"/>
      <c r="HC4" s="215"/>
      <c r="HD4" s="215"/>
      <c r="HE4" s="215"/>
      <c r="HF4" s="215"/>
      <c r="HG4" s="215"/>
      <c r="HH4" s="215"/>
      <c r="HI4" s="215"/>
      <c r="HJ4" s="215"/>
      <c r="HK4" s="215"/>
      <c r="HL4" s="215"/>
      <c r="HM4" s="215"/>
      <c r="HN4" s="215"/>
      <c r="HO4" s="215"/>
      <c r="HP4" s="215"/>
      <c r="HQ4" s="215"/>
      <c r="HR4" s="215"/>
      <c r="HS4" s="215"/>
      <c r="HT4" s="215"/>
      <c r="HU4" s="215"/>
      <c r="HV4" s="215"/>
      <c r="HW4" s="215"/>
      <c r="HX4" s="215"/>
      <c r="HY4" s="215"/>
      <c r="HZ4" s="215"/>
      <c r="IA4" s="215"/>
      <c r="IB4" s="215"/>
      <c r="IC4" s="215"/>
      <c r="ID4" s="215"/>
      <c r="IE4" s="215"/>
      <c r="IF4" s="215"/>
      <c r="IG4" s="215"/>
      <c r="IH4" s="215"/>
      <c r="II4" s="215"/>
      <c r="IJ4" s="215"/>
      <c r="IK4" s="215"/>
      <c r="IL4" s="215"/>
      <c r="IM4" s="215"/>
      <c r="IN4" s="215"/>
      <c r="IO4" s="215"/>
      <c r="IP4" s="215"/>
      <c r="IQ4" s="215"/>
      <c r="IR4" s="215"/>
      <c r="IS4" s="215"/>
      <c r="IT4" s="215"/>
      <c r="IU4" s="215"/>
    </row>
    <row r="5" spans="1:255" s="190" customFormat="1" ht="62.25" customHeight="1">
      <c r="A5" s="195"/>
      <c r="B5" s="196"/>
      <c r="C5" s="196"/>
      <c r="D5" s="196"/>
      <c r="E5" s="197" t="s">
        <v>281</v>
      </c>
      <c r="F5" s="197" t="s">
        <v>282</v>
      </c>
      <c r="G5" s="197" t="s">
        <v>283</v>
      </c>
      <c r="H5" s="197" t="s">
        <v>4</v>
      </c>
      <c r="I5" s="197" t="s">
        <v>284</v>
      </c>
      <c r="J5" s="197" t="s">
        <v>285</v>
      </c>
      <c r="K5" s="197" t="s">
        <v>286</v>
      </c>
      <c r="L5" s="197" t="s">
        <v>287</v>
      </c>
      <c r="M5" s="197" t="s">
        <v>288</v>
      </c>
      <c r="N5" s="209" t="s">
        <v>289</v>
      </c>
      <c r="O5" s="208"/>
      <c r="P5" s="197"/>
      <c r="Q5" s="209" t="s">
        <v>290</v>
      </c>
      <c r="R5" s="209" t="s">
        <v>291</v>
      </c>
      <c r="S5" s="209" t="s">
        <v>292</v>
      </c>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D5" s="215"/>
      <c r="DE5" s="215"/>
      <c r="DF5" s="215"/>
      <c r="DG5" s="215"/>
      <c r="DH5" s="215"/>
      <c r="DI5" s="215"/>
      <c r="DJ5" s="215"/>
      <c r="DK5" s="215"/>
      <c r="DL5" s="215"/>
      <c r="DM5" s="215"/>
      <c r="DN5" s="215"/>
      <c r="DO5" s="215"/>
      <c r="DP5" s="215"/>
      <c r="DQ5" s="215"/>
      <c r="DR5" s="215"/>
      <c r="DS5" s="215"/>
      <c r="DT5" s="215"/>
      <c r="DU5" s="215"/>
      <c r="DV5" s="215"/>
      <c r="DW5" s="215"/>
      <c r="DX5" s="215"/>
      <c r="DY5" s="215"/>
      <c r="DZ5" s="215"/>
      <c r="EA5" s="215"/>
      <c r="EB5" s="215"/>
      <c r="EC5" s="215"/>
      <c r="ED5" s="215"/>
      <c r="EE5" s="215"/>
      <c r="EF5" s="215"/>
      <c r="EG5" s="215"/>
      <c r="EH5" s="215"/>
      <c r="EI5" s="215"/>
      <c r="EJ5" s="215"/>
      <c r="EK5" s="215"/>
      <c r="EL5" s="215"/>
      <c r="EM5" s="215"/>
      <c r="EN5" s="215"/>
      <c r="EO5" s="215"/>
      <c r="EP5" s="215"/>
      <c r="EQ5" s="215"/>
      <c r="ER5" s="215"/>
      <c r="ES5" s="215"/>
      <c r="ET5" s="215"/>
      <c r="EU5" s="215"/>
      <c r="EV5" s="215"/>
      <c r="EW5" s="215"/>
      <c r="EX5" s="215"/>
      <c r="EY5" s="215"/>
      <c r="EZ5" s="215"/>
      <c r="FA5" s="215"/>
      <c r="FB5" s="215"/>
      <c r="FC5" s="215"/>
      <c r="FD5" s="215"/>
      <c r="FE5" s="215"/>
      <c r="FF5" s="215"/>
      <c r="FG5" s="215"/>
      <c r="FH5" s="215"/>
      <c r="FI5" s="215"/>
      <c r="FJ5" s="215"/>
      <c r="FK5" s="215"/>
      <c r="FL5" s="215"/>
      <c r="FM5" s="215"/>
      <c r="FN5" s="215"/>
      <c r="FO5" s="215"/>
      <c r="FP5" s="215"/>
      <c r="FQ5" s="215"/>
      <c r="FR5" s="215"/>
      <c r="FS5" s="215"/>
      <c r="FT5" s="215"/>
      <c r="FU5" s="215"/>
      <c r="FV5" s="215"/>
      <c r="FW5" s="215"/>
      <c r="FX5" s="215"/>
      <c r="FY5" s="215"/>
      <c r="FZ5" s="215"/>
      <c r="GA5" s="215"/>
      <c r="GB5" s="215"/>
      <c r="GC5" s="215"/>
      <c r="GD5" s="215"/>
      <c r="GE5" s="215"/>
      <c r="GF5" s="215"/>
      <c r="GG5" s="215"/>
      <c r="GH5" s="215"/>
      <c r="GI5" s="215"/>
      <c r="GJ5" s="215"/>
      <c r="GK5" s="215"/>
      <c r="GL5" s="215"/>
      <c r="GM5" s="215"/>
      <c r="GN5" s="215"/>
      <c r="GO5" s="215"/>
      <c r="GP5" s="215"/>
      <c r="GQ5" s="215"/>
      <c r="GR5" s="215"/>
      <c r="GS5" s="215"/>
      <c r="GT5" s="215"/>
      <c r="GU5" s="215"/>
      <c r="GV5" s="215"/>
      <c r="GW5" s="215"/>
      <c r="GX5" s="215"/>
      <c r="GY5" s="215"/>
      <c r="GZ5" s="215"/>
      <c r="HA5" s="215"/>
      <c r="HB5" s="215"/>
      <c r="HC5" s="215"/>
      <c r="HD5" s="215"/>
      <c r="HE5" s="215"/>
      <c r="HF5" s="215"/>
      <c r="HG5" s="215"/>
      <c r="HH5" s="215"/>
      <c r="HI5" s="215"/>
      <c r="HJ5" s="215"/>
      <c r="HK5" s="215"/>
      <c r="HL5" s="215"/>
      <c r="HM5" s="215"/>
      <c r="HN5" s="215"/>
      <c r="HO5" s="215"/>
      <c r="HP5" s="215"/>
      <c r="HQ5" s="215"/>
      <c r="HR5" s="215"/>
      <c r="HS5" s="215"/>
      <c r="HT5" s="215"/>
      <c r="HU5" s="215"/>
      <c r="HV5" s="215"/>
      <c r="HW5" s="215"/>
      <c r="HX5" s="215"/>
      <c r="HY5" s="215"/>
      <c r="HZ5" s="215"/>
      <c r="IA5" s="215"/>
      <c r="IB5" s="215"/>
      <c r="IC5" s="215"/>
      <c r="ID5" s="215"/>
      <c r="IE5" s="215"/>
      <c r="IF5" s="215"/>
      <c r="IG5" s="215"/>
      <c r="IH5" s="215"/>
      <c r="II5" s="215"/>
      <c r="IJ5" s="215"/>
      <c r="IK5" s="215"/>
      <c r="IL5" s="215"/>
      <c r="IM5" s="215"/>
      <c r="IN5" s="215"/>
      <c r="IO5" s="215"/>
      <c r="IP5" s="215"/>
      <c r="IQ5" s="215"/>
      <c r="IR5" s="215"/>
      <c r="IS5" s="215"/>
      <c r="IT5" s="215"/>
      <c r="IU5" s="215"/>
    </row>
    <row r="6" spans="1:19" s="191" customFormat="1" ht="66.75" customHeight="1">
      <c r="A6" s="195"/>
      <c r="B6" s="196"/>
      <c r="C6" s="196"/>
      <c r="D6" s="196"/>
      <c r="E6" s="198" t="s">
        <v>117</v>
      </c>
      <c r="F6" s="198" t="s">
        <v>118</v>
      </c>
      <c r="G6" s="198" t="s">
        <v>119</v>
      </c>
      <c r="H6" s="198" t="s">
        <v>293</v>
      </c>
      <c r="I6" s="210" t="s">
        <v>242</v>
      </c>
      <c r="J6" s="210" t="s">
        <v>122</v>
      </c>
      <c r="K6" s="210" t="s">
        <v>243</v>
      </c>
      <c r="L6" s="210" t="s">
        <v>124</v>
      </c>
      <c r="M6" s="210" t="s">
        <v>125</v>
      </c>
      <c r="N6" s="198" t="s">
        <v>294</v>
      </c>
      <c r="O6" s="198" t="s">
        <v>127</v>
      </c>
      <c r="P6" s="198" t="s">
        <v>295</v>
      </c>
      <c r="Q6" s="198" t="s">
        <v>296</v>
      </c>
      <c r="R6" s="198" t="s">
        <v>297</v>
      </c>
      <c r="S6" s="198" t="s">
        <v>298</v>
      </c>
    </row>
    <row r="7" spans="1:19" ht="27.75" customHeight="1" hidden="1">
      <c r="A7" s="160"/>
      <c r="B7" s="160"/>
      <c r="C7" s="185" t="s">
        <v>299</v>
      </c>
      <c r="D7" s="185" t="s">
        <v>300</v>
      </c>
      <c r="E7" s="199">
        <v>0.766</v>
      </c>
      <c r="F7" s="199">
        <v>0.18</v>
      </c>
      <c r="G7" s="199">
        <v>0.63</v>
      </c>
      <c r="H7" s="199">
        <v>1.576</v>
      </c>
      <c r="I7" s="211"/>
      <c r="J7" s="211"/>
      <c r="K7" s="211"/>
      <c r="L7" s="211"/>
      <c r="M7" s="211"/>
      <c r="N7" s="201"/>
      <c r="O7" s="201"/>
      <c r="P7" s="201"/>
      <c r="Q7" s="216"/>
      <c r="R7" s="216"/>
      <c r="S7" s="205"/>
    </row>
    <row r="8" spans="1:21" ht="27.75" customHeight="1">
      <c r="A8" s="196" t="s">
        <v>4</v>
      </c>
      <c r="B8" s="196"/>
      <c r="C8" s="196" t="s">
        <v>301</v>
      </c>
      <c r="D8" s="196" t="s">
        <v>301</v>
      </c>
      <c r="E8" s="200" t="s">
        <v>301</v>
      </c>
      <c r="F8" s="200" t="s">
        <v>301</v>
      </c>
      <c r="G8" s="200" t="s">
        <v>301</v>
      </c>
      <c r="H8" s="200" t="s">
        <v>301</v>
      </c>
      <c r="I8" s="212">
        <f aca="true" t="shared" si="0" ref="I8:R8">SUM(I9:I18)</f>
        <v>271</v>
      </c>
      <c r="J8" s="212">
        <f t="shared" si="0"/>
        <v>373</v>
      </c>
      <c r="K8" s="212">
        <f t="shared" si="0"/>
        <v>1358</v>
      </c>
      <c r="L8" s="212">
        <f t="shared" si="0"/>
        <v>1414</v>
      </c>
      <c r="M8" s="212">
        <f t="shared" si="0"/>
        <v>1414</v>
      </c>
      <c r="N8" s="200">
        <f t="shared" si="0"/>
        <v>5284.891333333334</v>
      </c>
      <c r="O8" s="200">
        <f t="shared" si="0"/>
        <v>-1300.9899999999998</v>
      </c>
      <c r="P8" s="200">
        <f>ROUND(SUM(P9:P18),2)</f>
        <v>3983.91</v>
      </c>
      <c r="Q8" s="212">
        <f t="shared" si="0"/>
        <v>247</v>
      </c>
      <c r="R8" s="212">
        <f t="shared" si="0"/>
        <v>247</v>
      </c>
      <c r="S8" s="200">
        <f>ROUND(SUM(S9:S18),2)</f>
        <v>450.01</v>
      </c>
      <c r="T8" s="217">
        <f>SUM(T9:T18)</f>
        <v>3983.9013333333332</v>
      </c>
      <c r="U8" s="217">
        <f>SUM(U9:U18)</f>
        <v>3983.91</v>
      </c>
    </row>
    <row r="9" spans="1:21" ht="27.75" customHeight="1">
      <c r="A9" s="185" t="s">
        <v>48</v>
      </c>
      <c r="B9" s="160" t="s">
        <v>302</v>
      </c>
      <c r="C9" s="160" t="s">
        <v>303</v>
      </c>
      <c r="D9" s="160" t="s">
        <v>304</v>
      </c>
      <c r="E9" s="199">
        <v>0.58</v>
      </c>
      <c r="F9" s="199">
        <v>0.095</v>
      </c>
      <c r="G9" s="199">
        <v>0.63</v>
      </c>
      <c r="H9" s="199">
        <f aca="true" t="shared" si="1" ref="H9:H17">SUM(E9:G9)</f>
        <v>1.305</v>
      </c>
      <c r="I9" s="213">
        <v>139</v>
      </c>
      <c r="J9" s="211">
        <v>185</v>
      </c>
      <c r="K9" s="211">
        <v>186</v>
      </c>
      <c r="L9" s="213">
        <v>137</v>
      </c>
      <c r="M9" s="213">
        <v>137</v>
      </c>
      <c r="N9" s="201">
        <f aca="true" t="shared" si="2" ref="N7:N18">(I9+J9+K9+L9)*H9+M9*H9/3</f>
        <v>903.93</v>
      </c>
      <c r="O9" s="201">
        <f>'订单定向结算'!T8</f>
        <v>-123.12</v>
      </c>
      <c r="P9" s="201">
        <f aca="true" t="shared" si="3" ref="P7:P18">ROUND(N9+O9,2)</f>
        <v>780.81</v>
      </c>
      <c r="Q9" s="213">
        <v>24</v>
      </c>
      <c r="R9" s="211">
        <v>24</v>
      </c>
      <c r="S9" s="205">
        <f aca="true" t="shared" si="4" ref="S7:S18">ROUND(Q9*H9+R9*H9/3,2)</f>
        <v>41.76</v>
      </c>
      <c r="T9" s="192">
        <f aca="true" t="shared" si="5" ref="T7:T18">N9+O9</f>
        <v>780.81</v>
      </c>
      <c r="U9" s="192">
        <f aca="true" t="shared" si="6" ref="U7:U18">ROUND(T9,2)</f>
        <v>780.81</v>
      </c>
    </row>
    <row r="10" spans="1:21" ht="27.75" customHeight="1">
      <c r="A10" s="185"/>
      <c r="B10" s="160"/>
      <c r="C10" s="160"/>
      <c r="D10" s="160" t="s">
        <v>300</v>
      </c>
      <c r="E10" s="199">
        <v>0.641</v>
      </c>
      <c r="F10" s="199">
        <v>0.095</v>
      </c>
      <c r="G10" s="199">
        <v>0.63</v>
      </c>
      <c r="H10" s="199">
        <f t="shared" si="1"/>
        <v>1.366</v>
      </c>
      <c r="I10" s="178"/>
      <c r="J10" s="178"/>
      <c r="K10" s="211">
        <v>247</v>
      </c>
      <c r="L10" s="213">
        <v>242</v>
      </c>
      <c r="M10" s="213">
        <v>242</v>
      </c>
      <c r="N10" s="201">
        <f t="shared" si="2"/>
        <v>778.1646666666667</v>
      </c>
      <c r="O10" s="201">
        <f>'订单定向结算'!T9</f>
        <v>-203.99</v>
      </c>
      <c r="P10" s="201">
        <f t="shared" si="3"/>
        <v>574.17</v>
      </c>
      <c r="Q10" s="213">
        <v>43</v>
      </c>
      <c r="R10" s="211">
        <v>43</v>
      </c>
      <c r="S10" s="205">
        <f t="shared" si="4"/>
        <v>78.32</v>
      </c>
      <c r="T10" s="192">
        <f t="shared" si="5"/>
        <v>574.1746666666667</v>
      </c>
      <c r="U10" s="192">
        <f t="shared" si="6"/>
        <v>574.17</v>
      </c>
    </row>
    <row r="11" spans="1:21" ht="27.75" customHeight="1">
      <c r="A11" s="185" t="s">
        <v>50</v>
      </c>
      <c r="B11" s="160" t="s">
        <v>305</v>
      </c>
      <c r="C11" s="160" t="s">
        <v>303</v>
      </c>
      <c r="D11" s="160" t="s">
        <v>304</v>
      </c>
      <c r="E11" s="201">
        <v>0.58</v>
      </c>
      <c r="F11" s="199">
        <v>0.13</v>
      </c>
      <c r="G11" s="199">
        <v>0.63</v>
      </c>
      <c r="H11" s="199">
        <f t="shared" si="1"/>
        <v>1.3399999999999999</v>
      </c>
      <c r="I11" s="213">
        <v>132</v>
      </c>
      <c r="J11" s="211">
        <v>188</v>
      </c>
      <c r="K11" s="211">
        <v>181</v>
      </c>
      <c r="L11" s="213">
        <v>184</v>
      </c>
      <c r="M11" s="213">
        <v>184</v>
      </c>
      <c r="N11" s="201">
        <f t="shared" si="2"/>
        <v>1000.0866666666665</v>
      </c>
      <c r="O11" s="201">
        <f>'订单定向结算'!T10</f>
        <v>-100.05</v>
      </c>
      <c r="P11" s="201">
        <f t="shared" si="3"/>
        <v>900.04</v>
      </c>
      <c r="Q11" s="213">
        <v>32</v>
      </c>
      <c r="R11" s="211">
        <v>32</v>
      </c>
      <c r="S11" s="205">
        <f t="shared" si="4"/>
        <v>57.17</v>
      </c>
      <c r="T11" s="192">
        <f t="shared" si="5"/>
        <v>900.0366666666665</v>
      </c>
      <c r="U11" s="192">
        <f t="shared" si="6"/>
        <v>900.04</v>
      </c>
    </row>
    <row r="12" spans="1:21" ht="27.75" customHeight="1">
      <c r="A12" s="185"/>
      <c r="B12" s="160"/>
      <c r="C12" s="160"/>
      <c r="D12" s="160" t="s">
        <v>300</v>
      </c>
      <c r="E12" s="199">
        <v>0.641</v>
      </c>
      <c r="F12" s="199">
        <v>0.13</v>
      </c>
      <c r="G12" s="199">
        <v>0.63</v>
      </c>
      <c r="H12" s="199">
        <f t="shared" si="1"/>
        <v>1.401</v>
      </c>
      <c r="I12" s="178"/>
      <c r="J12" s="178"/>
      <c r="K12" s="211">
        <v>196</v>
      </c>
      <c r="L12" s="178"/>
      <c r="M12" s="178"/>
      <c r="N12" s="201">
        <f t="shared" si="2"/>
        <v>274.596</v>
      </c>
      <c r="O12" s="201">
        <f>'订单定向结算'!T11</f>
        <v>-402.09</v>
      </c>
      <c r="P12" s="201">
        <f t="shared" si="3"/>
        <v>-127.49</v>
      </c>
      <c r="Q12" s="178"/>
      <c r="R12" s="178"/>
      <c r="S12" s="205">
        <f t="shared" si="4"/>
        <v>0</v>
      </c>
      <c r="T12" s="192">
        <f t="shared" si="5"/>
        <v>-127.49399999999997</v>
      </c>
      <c r="U12" s="192">
        <f t="shared" si="6"/>
        <v>-127.49</v>
      </c>
    </row>
    <row r="13" spans="1:21" ht="27.75" customHeight="1">
      <c r="A13" s="185" t="s">
        <v>59</v>
      </c>
      <c r="B13" s="160" t="s">
        <v>306</v>
      </c>
      <c r="C13" s="160" t="s">
        <v>303</v>
      </c>
      <c r="D13" s="160" t="s">
        <v>300</v>
      </c>
      <c r="E13" s="199">
        <v>0.641</v>
      </c>
      <c r="F13" s="199">
        <v>0.12</v>
      </c>
      <c r="G13" s="199">
        <v>0.63</v>
      </c>
      <c r="H13" s="199">
        <f t="shared" si="1"/>
        <v>1.391</v>
      </c>
      <c r="I13" s="178"/>
      <c r="J13" s="178"/>
      <c r="K13" s="211">
        <v>266</v>
      </c>
      <c r="L13" s="213">
        <v>242</v>
      </c>
      <c r="M13" s="213">
        <v>242</v>
      </c>
      <c r="N13" s="201">
        <f t="shared" si="2"/>
        <v>818.8353333333334</v>
      </c>
      <c r="O13" s="201">
        <f>'订单定向结算'!T12</f>
        <v>-257.8</v>
      </c>
      <c r="P13" s="201">
        <f t="shared" si="3"/>
        <v>561.04</v>
      </c>
      <c r="Q13" s="213">
        <v>43</v>
      </c>
      <c r="R13" s="211">
        <v>43</v>
      </c>
      <c r="S13" s="205">
        <f t="shared" si="4"/>
        <v>79.75</v>
      </c>
      <c r="T13" s="192">
        <f t="shared" si="5"/>
        <v>561.0353333333335</v>
      </c>
      <c r="U13" s="192">
        <f t="shared" si="6"/>
        <v>561.04</v>
      </c>
    </row>
    <row r="14" spans="1:21" ht="27.75" customHeight="1">
      <c r="A14" s="185"/>
      <c r="B14" s="160"/>
      <c r="C14" s="160" t="s">
        <v>307</v>
      </c>
      <c r="D14" s="160" t="s">
        <v>300</v>
      </c>
      <c r="E14" s="199">
        <v>0.641</v>
      </c>
      <c r="F14" s="199">
        <v>0.12</v>
      </c>
      <c r="G14" s="199">
        <v>0.63</v>
      </c>
      <c r="H14" s="199">
        <f t="shared" si="1"/>
        <v>1.391</v>
      </c>
      <c r="I14" s="178"/>
      <c r="J14" s="178"/>
      <c r="K14" s="211">
        <v>108</v>
      </c>
      <c r="L14" s="213">
        <v>122</v>
      </c>
      <c r="M14" s="213">
        <v>122</v>
      </c>
      <c r="N14" s="201">
        <f t="shared" si="2"/>
        <v>376.49733333333336</v>
      </c>
      <c r="O14" s="201">
        <f>'订单定向结算'!T13</f>
        <v>-90.88</v>
      </c>
      <c r="P14" s="201">
        <f t="shared" si="3"/>
        <v>285.62</v>
      </c>
      <c r="Q14" s="213">
        <v>21</v>
      </c>
      <c r="R14" s="211">
        <v>21</v>
      </c>
      <c r="S14" s="205">
        <f t="shared" si="4"/>
        <v>38.95</v>
      </c>
      <c r="T14" s="192">
        <f t="shared" si="5"/>
        <v>285.61733333333336</v>
      </c>
      <c r="U14" s="192">
        <f t="shared" si="6"/>
        <v>285.62</v>
      </c>
    </row>
    <row r="15" spans="1:21" s="192" customFormat="1" ht="27.75" customHeight="1">
      <c r="A15" s="185" t="s">
        <v>55</v>
      </c>
      <c r="B15" s="202" t="s">
        <v>308</v>
      </c>
      <c r="C15" s="160" t="s">
        <v>303</v>
      </c>
      <c r="D15" s="160" t="s">
        <v>300</v>
      </c>
      <c r="E15" s="199">
        <v>0.641</v>
      </c>
      <c r="F15" s="199">
        <v>0.12</v>
      </c>
      <c r="G15" s="199">
        <v>0.63</v>
      </c>
      <c r="H15" s="199">
        <f t="shared" si="1"/>
        <v>1.391</v>
      </c>
      <c r="I15" s="178"/>
      <c r="J15" s="178"/>
      <c r="K15" s="178"/>
      <c r="L15" s="213">
        <v>81</v>
      </c>
      <c r="M15" s="213">
        <v>81</v>
      </c>
      <c r="N15" s="201">
        <f t="shared" si="2"/>
        <v>150.228</v>
      </c>
      <c r="O15" s="201">
        <f>'订单定向结算'!T14</f>
        <v>37.56</v>
      </c>
      <c r="P15" s="201">
        <f t="shared" si="3"/>
        <v>187.79</v>
      </c>
      <c r="Q15" s="213">
        <v>14</v>
      </c>
      <c r="R15" s="211">
        <v>14</v>
      </c>
      <c r="S15" s="205">
        <f t="shared" si="4"/>
        <v>25.97</v>
      </c>
      <c r="T15" s="192">
        <f t="shared" si="5"/>
        <v>187.788</v>
      </c>
      <c r="U15" s="192">
        <f t="shared" si="6"/>
        <v>187.79</v>
      </c>
    </row>
    <row r="16" spans="1:21" s="192" customFormat="1" ht="27.75" customHeight="1">
      <c r="A16" s="185"/>
      <c r="B16" s="203"/>
      <c r="C16" s="204" t="s">
        <v>307</v>
      </c>
      <c r="D16" s="204" t="s">
        <v>300</v>
      </c>
      <c r="E16" s="199">
        <v>0.641</v>
      </c>
      <c r="F16" s="199">
        <v>0.12</v>
      </c>
      <c r="G16" s="199">
        <v>0.63</v>
      </c>
      <c r="H16" s="199">
        <f t="shared" si="1"/>
        <v>1.391</v>
      </c>
      <c r="I16" s="178"/>
      <c r="J16" s="178"/>
      <c r="K16" s="211">
        <v>120</v>
      </c>
      <c r="L16" s="213">
        <v>122</v>
      </c>
      <c r="M16" s="213">
        <v>122</v>
      </c>
      <c r="N16" s="201">
        <f t="shared" si="2"/>
        <v>393.18933333333337</v>
      </c>
      <c r="O16" s="201">
        <f>'订单定向结算'!T15</f>
        <v>-289.79</v>
      </c>
      <c r="P16" s="201">
        <f t="shared" si="3"/>
        <v>103.4</v>
      </c>
      <c r="Q16" s="213">
        <v>21</v>
      </c>
      <c r="R16" s="211">
        <v>21</v>
      </c>
      <c r="S16" s="205">
        <f t="shared" si="4"/>
        <v>38.95</v>
      </c>
      <c r="T16" s="192">
        <f t="shared" si="5"/>
        <v>103.39933333333335</v>
      </c>
      <c r="U16" s="192">
        <f t="shared" si="6"/>
        <v>103.4</v>
      </c>
    </row>
    <row r="17" spans="1:21" s="192" customFormat="1" ht="27.75" customHeight="1">
      <c r="A17" s="185" t="s">
        <v>51</v>
      </c>
      <c r="B17" s="202" t="s">
        <v>309</v>
      </c>
      <c r="C17" s="204" t="s">
        <v>307</v>
      </c>
      <c r="D17" s="204" t="s">
        <v>300</v>
      </c>
      <c r="E17" s="199">
        <v>0.641</v>
      </c>
      <c r="F17" s="199">
        <v>0.075</v>
      </c>
      <c r="G17" s="199">
        <v>0.63</v>
      </c>
      <c r="H17" s="199">
        <f t="shared" si="1"/>
        <v>1.346</v>
      </c>
      <c r="I17" s="178"/>
      <c r="J17" s="178"/>
      <c r="K17" s="211">
        <v>54</v>
      </c>
      <c r="L17" s="213">
        <v>162</v>
      </c>
      <c r="M17" s="213">
        <v>162</v>
      </c>
      <c r="N17" s="201">
        <f t="shared" si="2"/>
        <v>363.42</v>
      </c>
      <c r="O17" s="201">
        <f>VLOOKUP(B17,'订单定向结算'!$B:$T,19,0)</f>
        <v>72.68</v>
      </c>
      <c r="P17" s="201">
        <f t="shared" si="3"/>
        <v>436.1</v>
      </c>
      <c r="Q17" s="213">
        <v>28</v>
      </c>
      <c r="R17" s="211">
        <v>28</v>
      </c>
      <c r="S17" s="205">
        <f t="shared" si="4"/>
        <v>50.25</v>
      </c>
      <c r="T17" s="192">
        <f t="shared" si="5"/>
        <v>436.1</v>
      </c>
      <c r="U17" s="192">
        <f t="shared" si="6"/>
        <v>436.1</v>
      </c>
    </row>
    <row r="18" spans="1:21" s="192" customFormat="1" ht="28.5" customHeight="1">
      <c r="A18" s="185" t="s">
        <v>58</v>
      </c>
      <c r="B18" s="202" t="s">
        <v>310</v>
      </c>
      <c r="C18" s="160" t="s">
        <v>303</v>
      </c>
      <c r="D18" s="160" t="s">
        <v>300</v>
      </c>
      <c r="E18" s="205">
        <v>0.641</v>
      </c>
      <c r="F18" s="205">
        <v>0.118</v>
      </c>
      <c r="G18" s="205">
        <v>0.63</v>
      </c>
      <c r="H18" s="199">
        <v>1.389</v>
      </c>
      <c r="I18" s="178"/>
      <c r="J18" s="178"/>
      <c r="K18" s="178"/>
      <c r="L18" s="213">
        <v>122</v>
      </c>
      <c r="M18" s="213">
        <v>122</v>
      </c>
      <c r="N18" s="201">
        <f t="shared" si="2"/>
        <v>225.944</v>
      </c>
      <c r="O18" s="201">
        <f>VLOOKUP(B18,'订单定向结算'!$B:$T,19,0)</f>
        <v>56.49</v>
      </c>
      <c r="P18" s="201">
        <f t="shared" si="3"/>
        <v>282.43</v>
      </c>
      <c r="Q18" s="213">
        <v>21</v>
      </c>
      <c r="R18" s="211">
        <v>21</v>
      </c>
      <c r="S18" s="205">
        <f t="shared" si="4"/>
        <v>38.89</v>
      </c>
      <c r="T18" s="192">
        <f t="shared" si="5"/>
        <v>282.43399999999997</v>
      </c>
      <c r="U18" s="192">
        <f t="shared" si="6"/>
        <v>282.43</v>
      </c>
    </row>
    <row r="19" spans="1:19" s="193" customFormat="1" ht="62.25" customHeight="1">
      <c r="A19" s="206" t="s">
        <v>311</v>
      </c>
      <c r="B19" s="206"/>
      <c r="C19" s="206"/>
      <c r="D19" s="206"/>
      <c r="E19" s="206"/>
      <c r="F19" s="206"/>
      <c r="G19" s="206"/>
      <c r="H19" s="206"/>
      <c r="I19" s="206"/>
      <c r="J19" s="206"/>
      <c r="K19" s="206"/>
      <c r="L19" s="206"/>
      <c r="M19" s="206"/>
      <c r="N19" s="206"/>
      <c r="O19" s="206"/>
      <c r="P19" s="206"/>
      <c r="Q19" s="206"/>
      <c r="R19" s="206"/>
      <c r="S19" s="206"/>
    </row>
  </sheetData>
  <sheetProtection/>
  <mergeCells count="23">
    <mergeCell ref="A1:B1"/>
    <mergeCell ref="A2:S2"/>
    <mergeCell ref="E4:H4"/>
    <mergeCell ref="I4:N4"/>
    <mergeCell ref="Q4:S4"/>
    <mergeCell ref="A8:B8"/>
    <mergeCell ref="A19:S19"/>
    <mergeCell ref="A4:A6"/>
    <mergeCell ref="A9:A10"/>
    <mergeCell ref="A11:A12"/>
    <mergeCell ref="A13:A14"/>
    <mergeCell ref="A15:A16"/>
    <mergeCell ref="B4:B6"/>
    <mergeCell ref="B9:B10"/>
    <mergeCell ref="B11:B12"/>
    <mergeCell ref="B13:B14"/>
    <mergeCell ref="B15:B16"/>
    <mergeCell ref="C4:C6"/>
    <mergeCell ref="C9:C10"/>
    <mergeCell ref="C11:C12"/>
    <mergeCell ref="D4:D6"/>
    <mergeCell ref="O4:O5"/>
    <mergeCell ref="P4:P5"/>
  </mergeCells>
  <dataValidations count="2">
    <dataValidation type="list" allowBlank="1" showErrorMessage="1" sqref="C9:C18">
      <formula1>"临床医学,中医学"</formula1>
    </dataValidation>
    <dataValidation type="list" allowBlank="1" showErrorMessage="1" sqref="D9:G18">
      <formula1>"本科,专科"</formula1>
    </dataValidation>
  </dataValidations>
  <printOptions horizontalCentered="1"/>
  <pageMargins left="0.4722222222222222" right="0.4722222222222222" top="0.5902777777777778" bottom="0.7868055555555555" header="0.5118055555555555" footer="0.5118055555555555"/>
  <pageSetup fitToHeight="0" fitToWidth="1" horizontalDpi="600" verticalDpi="600" orientation="landscape" paperSize="9" scale="50"/>
</worksheet>
</file>

<file path=xl/worksheets/sheet7.xml><?xml version="1.0" encoding="utf-8"?>
<worksheet xmlns="http://schemas.openxmlformats.org/spreadsheetml/2006/main" xmlns:r="http://schemas.openxmlformats.org/officeDocument/2006/relationships">
  <sheetPr>
    <pageSetUpPr fitToPage="1"/>
  </sheetPr>
  <dimension ref="A1:AB17"/>
  <sheetViews>
    <sheetView zoomScale="70" zoomScaleNormal="70" zoomScaleSheetLayoutView="100" workbookViewId="0" topLeftCell="B4">
      <selection activeCell="B10" sqref="B10:B11"/>
    </sheetView>
  </sheetViews>
  <sheetFormatPr defaultColWidth="9.00390625" defaultRowHeight="15"/>
  <cols>
    <col min="1" max="1" width="24.00390625" style="151" customWidth="1"/>
    <col min="2" max="2" width="28.7109375" style="35" customWidth="1"/>
    <col min="3" max="3" width="13.7109375" style="35" customWidth="1"/>
    <col min="4" max="4" width="13.57421875" style="35" customWidth="1"/>
    <col min="5" max="7" width="9.00390625" style="35" customWidth="1"/>
    <col min="8" max="8" width="12.57421875" style="35" customWidth="1"/>
    <col min="9" max="9" width="13.8515625" style="35" customWidth="1"/>
    <col min="10" max="12" width="11.421875" style="35" customWidth="1"/>
    <col min="13" max="13" width="16.140625" style="35" customWidth="1"/>
    <col min="14" max="14" width="26.421875" style="35" customWidth="1"/>
    <col min="15" max="15" width="19.140625" style="152" customWidth="1"/>
    <col min="16" max="16" width="18.421875" style="152" customWidth="1"/>
    <col min="17" max="17" width="15.421875" style="153" customWidth="1"/>
    <col min="18" max="18" width="14.00390625" style="153" customWidth="1"/>
    <col min="19" max="19" width="15.421875" style="152" customWidth="1"/>
    <col min="20" max="20" width="21.28125" style="151" customWidth="1"/>
    <col min="21" max="21" width="15.00390625" style="151" customWidth="1"/>
    <col min="22" max="22" width="20.7109375" style="151" customWidth="1"/>
    <col min="23" max="23" width="17.421875" style="151" hidden="1" customWidth="1"/>
    <col min="24" max="24" width="9.140625" style="151" hidden="1" customWidth="1"/>
    <col min="25" max="25" width="9.00390625" style="151" hidden="1" customWidth="1"/>
    <col min="26" max="26" width="14.00390625" style="151" hidden="1" customWidth="1"/>
    <col min="27" max="27" width="16.7109375" style="151" hidden="1" customWidth="1"/>
    <col min="28" max="28" width="9.00390625" style="151" customWidth="1"/>
    <col min="29" max="16384" width="9.00390625" style="151" customWidth="1"/>
  </cols>
  <sheetData>
    <row r="1" spans="1:2" ht="26.25" customHeight="1">
      <c r="A1" s="154" t="s">
        <v>312</v>
      </c>
      <c r="B1" s="154"/>
    </row>
    <row r="2" spans="1:22" ht="39.75" customHeight="1">
      <c r="A2" s="155" t="s">
        <v>313</v>
      </c>
      <c r="B2" s="155"/>
      <c r="C2" s="155"/>
      <c r="D2" s="155"/>
      <c r="E2" s="155"/>
      <c r="F2" s="155"/>
      <c r="G2" s="155"/>
      <c r="H2" s="155"/>
      <c r="I2" s="155"/>
      <c r="J2" s="155"/>
      <c r="K2" s="155"/>
      <c r="L2" s="155"/>
      <c r="M2" s="155"/>
      <c r="N2" s="155"/>
      <c r="O2" s="155"/>
      <c r="P2" s="155"/>
      <c r="Q2" s="155"/>
      <c r="R2" s="155"/>
      <c r="S2" s="155"/>
      <c r="T2" s="155"/>
      <c r="U2" s="155"/>
      <c r="V2" s="155"/>
    </row>
    <row r="3" spans="2:22" ht="26.25" customHeight="1">
      <c r="B3" s="156"/>
      <c r="C3" s="156"/>
      <c r="D3" s="156"/>
      <c r="E3" s="156"/>
      <c r="F3" s="156"/>
      <c r="G3" s="156"/>
      <c r="H3" s="156"/>
      <c r="I3" s="156"/>
      <c r="J3" s="156"/>
      <c r="K3" s="156"/>
      <c r="L3" s="156"/>
      <c r="M3" s="156"/>
      <c r="N3" s="156"/>
      <c r="O3" s="170"/>
      <c r="P3" s="170"/>
      <c r="Q3" s="179"/>
      <c r="R3" s="179"/>
      <c r="S3" s="170"/>
      <c r="V3" s="180" t="s">
        <v>2</v>
      </c>
    </row>
    <row r="4" spans="1:24" s="147" customFormat="1" ht="54" customHeight="1">
      <c r="A4" s="157" t="s">
        <v>314</v>
      </c>
      <c r="B4" s="158" t="s">
        <v>3</v>
      </c>
      <c r="C4" s="158" t="s">
        <v>274</v>
      </c>
      <c r="D4" s="158" t="s">
        <v>275</v>
      </c>
      <c r="E4" s="158" t="s">
        <v>276</v>
      </c>
      <c r="F4" s="159"/>
      <c r="G4" s="159"/>
      <c r="H4" s="159"/>
      <c r="I4" s="171" t="s">
        <v>315</v>
      </c>
      <c r="J4" s="171"/>
      <c r="K4" s="171"/>
      <c r="L4" s="171"/>
      <c r="M4" s="171"/>
      <c r="N4" s="171"/>
      <c r="O4" s="171"/>
      <c r="P4" s="171"/>
      <c r="Q4" s="181" t="s">
        <v>316</v>
      </c>
      <c r="R4" s="181"/>
      <c r="S4" s="172"/>
      <c r="T4" s="159" t="s">
        <v>317</v>
      </c>
      <c r="U4" s="182" t="s">
        <v>318</v>
      </c>
      <c r="V4" s="171"/>
      <c r="W4" s="183"/>
      <c r="X4" s="183"/>
    </row>
    <row r="5" spans="1:24" s="147" customFormat="1" ht="66" customHeight="1">
      <c r="A5" s="157"/>
      <c r="B5" s="158"/>
      <c r="C5" s="158"/>
      <c r="D5" s="158"/>
      <c r="E5" s="158" t="s">
        <v>281</v>
      </c>
      <c r="F5" s="158" t="s">
        <v>282</v>
      </c>
      <c r="G5" s="158" t="s">
        <v>283</v>
      </c>
      <c r="H5" s="158" t="s">
        <v>4</v>
      </c>
      <c r="I5" s="159" t="s">
        <v>319</v>
      </c>
      <c r="J5" s="159" t="s">
        <v>320</v>
      </c>
      <c r="K5" s="159" t="s">
        <v>321</v>
      </c>
      <c r="L5" s="159" t="s">
        <v>322</v>
      </c>
      <c r="M5" s="159" t="s">
        <v>323</v>
      </c>
      <c r="N5" s="172" t="s">
        <v>324</v>
      </c>
      <c r="O5" s="172" t="s">
        <v>325</v>
      </c>
      <c r="P5" s="172" t="s">
        <v>326</v>
      </c>
      <c r="Q5" s="184" t="s">
        <v>327</v>
      </c>
      <c r="R5" s="181" t="s">
        <v>328</v>
      </c>
      <c r="S5" s="172" t="s">
        <v>329</v>
      </c>
      <c r="T5" s="159"/>
      <c r="U5" s="172" t="s">
        <v>330</v>
      </c>
      <c r="V5" s="182" t="s">
        <v>331</v>
      </c>
      <c r="W5" s="183"/>
      <c r="X5" s="183"/>
    </row>
    <row r="6" spans="1:26" s="148" customFormat="1" ht="54" customHeight="1">
      <c r="A6" s="157"/>
      <c r="B6" s="158"/>
      <c r="C6" s="158"/>
      <c r="D6" s="158"/>
      <c r="E6" s="160" t="s">
        <v>209</v>
      </c>
      <c r="F6" s="160" t="s">
        <v>210</v>
      </c>
      <c r="G6" s="160" t="s">
        <v>211</v>
      </c>
      <c r="H6" s="160" t="s">
        <v>332</v>
      </c>
      <c r="I6" s="160" t="s">
        <v>213</v>
      </c>
      <c r="J6" s="160" t="s">
        <v>214</v>
      </c>
      <c r="K6" s="160" t="s">
        <v>260</v>
      </c>
      <c r="L6" s="160" t="s">
        <v>216</v>
      </c>
      <c r="M6" s="160" t="s">
        <v>217</v>
      </c>
      <c r="N6" s="173" t="s">
        <v>333</v>
      </c>
      <c r="O6" s="173" t="s">
        <v>334</v>
      </c>
      <c r="P6" s="173" t="s">
        <v>335</v>
      </c>
      <c r="Q6" s="160" t="s">
        <v>263</v>
      </c>
      <c r="R6" s="160" t="s">
        <v>222</v>
      </c>
      <c r="S6" s="160" t="s">
        <v>336</v>
      </c>
      <c r="T6" s="185" t="s">
        <v>337</v>
      </c>
      <c r="U6" s="185" t="s">
        <v>266</v>
      </c>
      <c r="V6" s="185" t="s">
        <v>338</v>
      </c>
      <c r="W6" s="186"/>
      <c r="X6" s="186"/>
      <c r="Z6" s="148">
        <v>0.85</v>
      </c>
    </row>
    <row r="7" spans="1:27" s="149" customFormat="1" ht="42" customHeight="1">
      <c r="A7" s="161" t="s">
        <v>4</v>
      </c>
      <c r="B7" s="161"/>
      <c r="C7" s="161" t="s">
        <v>301</v>
      </c>
      <c r="D7" s="161" t="s">
        <v>301</v>
      </c>
      <c r="E7" s="162" t="s">
        <v>301</v>
      </c>
      <c r="F7" s="162" t="s">
        <v>301</v>
      </c>
      <c r="G7" s="162" t="s">
        <v>301</v>
      </c>
      <c r="H7" s="162" t="s">
        <v>301</v>
      </c>
      <c r="I7" s="174">
        <f>SUM(I8:I17)</f>
        <v>231</v>
      </c>
      <c r="J7" s="174">
        <f>SUM(J8:J17)</f>
        <v>271</v>
      </c>
      <c r="K7" s="174">
        <f>SUM(K8:K17)</f>
        <v>1383</v>
      </c>
      <c r="L7" s="174">
        <f>SUM(L8:L17)</f>
        <v>1358</v>
      </c>
      <c r="M7" s="174">
        <f>SUM(M8:M17)</f>
        <v>1414</v>
      </c>
      <c r="N7" s="162">
        <f aca="true" t="shared" si="0" ref="N7:U7">SUM(N8:N17)</f>
        <v>5058.742333333334</v>
      </c>
      <c r="O7" s="162">
        <f t="shared" si="0"/>
        <v>6334.679999999999</v>
      </c>
      <c r="P7" s="162">
        <f t="shared" si="0"/>
        <v>-1275.9376666666665</v>
      </c>
      <c r="Q7" s="181">
        <f t="shared" si="0"/>
        <v>1373</v>
      </c>
      <c r="R7" s="181">
        <f t="shared" si="0"/>
        <v>1358</v>
      </c>
      <c r="S7" s="162">
        <f t="shared" si="0"/>
        <v>-25.055000000000007</v>
      </c>
      <c r="T7" s="162">
        <f>ROUND(SUM(T8:T17),2)</f>
        <v>-1300.99</v>
      </c>
      <c r="U7" s="181">
        <f t="shared" si="0"/>
        <v>247</v>
      </c>
      <c r="V7" s="162">
        <f>ROUND(SUM(V8:V17),2)</f>
        <v>112.5</v>
      </c>
      <c r="W7" s="187">
        <f>SUM(W8:W17)</f>
        <v>1661</v>
      </c>
      <c r="X7" s="187">
        <f>SUM(X8:X17)</f>
        <v>1661</v>
      </c>
      <c r="Z7" s="187">
        <f>SUM(Z8:Z17)</f>
        <v>1414</v>
      </c>
      <c r="AA7" s="187">
        <f>SUM(AA8:AA17)</f>
        <v>247</v>
      </c>
    </row>
    <row r="8" spans="1:27" s="149" customFormat="1" ht="42" customHeight="1">
      <c r="A8" s="163" t="s">
        <v>48</v>
      </c>
      <c r="B8" s="164" t="s">
        <v>302</v>
      </c>
      <c r="C8" s="164" t="s">
        <v>303</v>
      </c>
      <c r="D8" s="164" t="s">
        <v>304</v>
      </c>
      <c r="E8" s="165">
        <v>0.58</v>
      </c>
      <c r="F8" s="165">
        <v>0.095</v>
      </c>
      <c r="G8" s="165">
        <v>0.63</v>
      </c>
      <c r="H8" s="165">
        <f aca="true" t="shared" si="1" ref="H8:H16">SUM(E8:G8)</f>
        <v>1.305</v>
      </c>
      <c r="I8" s="175">
        <v>123</v>
      </c>
      <c r="J8" s="176">
        <v>139</v>
      </c>
      <c r="K8" s="176">
        <v>185</v>
      </c>
      <c r="L8" s="177">
        <v>186</v>
      </c>
      <c r="M8" s="176">
        <v>137</v>
      </c>
      <c r="N8" s="169">
        <f aca="true" t="shared" si="2" ref="N7:N17">(I8+J8+K8+L8)*H8+M8*H8*1/3</f>
        <v>885.66</v>
      </c>
      <c r="O8" s="169">
        <v>1020.52</v>
      </c>
      <c r="P8" s="169">
        <f aca="true" t="shared" si="3" ref="P7:P17">N8-O8</f>
        <v>-134.86</v>
      </c>
      <c r="Q8" s="188">
        <v>177</v>
      </c>
      <c r="R8" s="177">
        <v>186</v>
      </c>
      <c r="S8" s="169">
        <f aca="true" t="shared" si="4" ref="S8:S13">(R8-Q8)*H8</f>
        <v>11.745</v>
      </c>
      <c r="T8" s="166">
        <f aca="true" t="shared" si="5" ref="T7:T17">ROUND(S8+P8,2)</f>
        <v>-123.12</v>
      </c>
      <c r="U8" s="177">
        <v>24</v>
      </c>
      <c r="V8" s="166">
        <f>ROUND(U8*H8/3,2)</f>
        <v>10.44</v>
      </c>
      <c r="W8" s="189">
        <f aca="true" t="shared" si="6" ref="W7:W17">M8+U8</f>
        <v>161</v>
      </c>
      <c r="X8" s="189">
        <v>161</v>
      </c>
      <c r="Z8" s="149">
        <f aca="true" t="shared" si="7" ref="Z7:Z17">ROUND(X8*0.85,0)</f>
        <v>137</v>
      </c>
      <c r="AA8" s="149">
        <f aca="true" t="shared" si="8" ref="AA7:AA17">X8-Z8</f>
        <v>24</v>
      </c>
    </row>
    <row r="9" spans="1:27" s="149" customFormat="1" ht="42" customHeight="1">
      <c r="A9" s="163"/>
      <c r="B9" s="164"/>
      <c r="C9" s="164"/>
      <c r="D9" s="164" t="s">
        <v>300</v>
      </c>
      <c r="E9" s="165">
        <v>0.641</v>
      </c>
      <c r="F9" s="165">
        <v>0.095</v>
      </c>
      <c r="G9" s="165">
        <v>0.63</v>
      </c>
      <c r="H9" s="165">
        <f t="shared" si="1"/>
        <v>1.366</v>
      </c>
      <c r="I9" s="178"/>
      <c r="J9" s="178"/>
      <c r="K9" s="176">
        <v>250</v>
      </c>
      <c r="L9" s="177">
        <v>247</v>
      </c>
      <c r="M9" s="176">
        <v>242</v>
      </c>
      <c r="N9" s="169">
        <f t="shared" si="2"/>
        <v>789.0926666666667</v>
      </c>
      <c r="O9" s="169">
        <v>997.18</v>
      </c>
      <c r="P9" s="169">
        <f t="shared" si="3"/>
        <v>-208.08733333333328</v>
      </c>
      <c r="Q9" s="188">
        <v>244</v>
      </c>
      <c r="R9" s="177">
        <v>247</v>
      </c>
      <c r="S9" s="169">
        <f t="shared" si="4"/>
        <v>4.098000000000001</v>
      </c>
      <c r="T9" s="166">
        <f t="shared" si="5"/>
        <v>-203.99</v>
      </c>
      <c r="U9" s="177">
        <v>43</v>
      </c>
      <c r="V9" s="166">
        <f>ROUND(U9*H9/3,2)</f>
        <v>19.58</v>
      </c>
      <c r="W9" s="189">
        <f t="shared" si="6"/>
        <v>285</v>
      </c>
      <c r="X9" s="189">
        <v>285</v>
      </c>
      <c r="Z9" s="149">
        <f t="shared" si="7"/>
        <v>242</v>
      </c>
      <c r="AA9" s="149">
        <f t="shared" si="8"/>
        <v>43</v>
      </c>
    </row>
    <row r="10" spans="1:27" s="149" customFormat="1" ht="42" customHeight="1">
      <c r="A10" s="163" t="s">
        <v>50</v>
      </c>
      <c r="B10" s="164" t="s">
        <v>305</v>
      </c>
      <c r="C10" s="164" t="s">
        <v>303</v>
      </c>
      <c r="D10" s="164" t="s">
        <v>304</v>
      </c>
      <c r="E10" s="166">
        <v>0.58</v>
      </c>
      <c r="F10" s="165">
        <v>0.13</v>
      </c>
      <c r="G10" s="165">
        <v>0.63</v>
      </c>
      <c r="H10" s="165">
        <f t="shared" si="1"/>
        <v>1.3399999999999999</v>
      </c>
      <c r="I10" s="175">
        <v>108</v>
      </c>
      <c r="J10" s="176">
        <v>132</v>
      </c>
      <c r="K10" s="176">
        <v>188</v>
      </c>
      <c r="L10" s="177">
        <v>181</v>
      </c>
      <c r="M10" s="176">
        <v>184</v>
      </c>
      <c r="N10" s="169">
        <f t="shared" si="2"/>
        <v>898.2466666666666</v>
      </c>
      <c r="O10" s="169">
        <v>1013.04</v>
      </c>
      <c r="P10" s="169">
        <f t="shared" si="3"/>
        <v>-114.79333333333341</v>
      </c>
      <c r="Q10" s="188">
        <v>170</v>
      </c>
      <c r="R10" s="177">
        <v>181</v>
      </c>
      <c r="S10" s="169">
        <f t="shared" si="4"/>
        <v>14.739999999999998</v>
      </c>
      <c r="T10" s="166">
        <f t="shared" si="5"/>
        <v>-100.05</v>
      </c>
      <c r="U10" s="177">
        <v>32</v>
      </c>
      <c r="V10" s="166">
        <f>ROUND(U10*H10/3,2)</f>
        <v>14.29</v>
      </c>
      <c r="W10" s="189">
        <f t="shared" si="6"/>
        <v>216</v>
      </c>
      <c r="X10" s="189">
        <v>216</v>
      </c>
      <c r="Z10" s="149">
        <f t="shared" si="7"/>
        <v>184</v>
      </c>
      <c r="AA10" s="149">
        <f t="shared" si="8"/>
        <v>32</v>
      </c>
    </row>
    <row r="11" spans="1:27" s="149" customFormat="1" ht="42" customHeight="1">
      <c r="A11" s="163"/>
      <c r="B11" s="164"/>
      <c r="C11" s="164"/>
      <c r="D11" s="164" t="s">
        <v>300</v>
      </c>
      <c r="E11" s="165">
        <v>0.641</v>
      </c>
      <c r="F11" s="165">
        <v>0.13</v>
      </c>
      <c r="G11" s="165">
        <v>0.63</v>
      </c>
      <c r="H11" s="165">
        <f t="shared" si="1"/>
        <v>1.401</v>
      </c>
      <c r="I11" s="178"/>
      <c r="J11" s="178"/>
      <c r="K11" s="176">
        <v>208</v>
      </c>
      <c r="L11" s="177">
        <v>196</v>
      </c>
      <c r="M11" s="178"/>
      <c r="N11" s="169">
        <f t="shared" si="2"/>
        <v>566.004</v>
      </c>
      <c r="O11" s="169">
        <v>919.06</v>
      </c>
      <c r="P11" s="169">
        <f t="shared" si="3"/>
        <v>-353.0559999999999</v>
      </c>
      <c r="Q11" s="188">
        <v>231</v>
      </c>
      <c r="R11" s="177">
        <v>196</v>
      </c>
      <c r="S11" s="169">
        <f t="shared" si="4"/>
        <v>-49.035000000000004</v>
      </c>
      <c r="T11" s="166">
        <f t="shared" si="5"/>
        <v>-402.09</v>
      </c>
      <c r="U11" s="178"/>
      <c r="V11" s="178"/>
      <c r="W11" s="189">
        <f t="shared" si="6"/>
        <v>0</v>
      </c>
      <c r="X11" s="189">
        <v>0</v>
      </c>
      <c r="Z11" s="149">
        <f t="shared" si="7"/>
        <v>0</v>
      </c>
      <c r="AA11" s="149">
        <f t="shared" si="8"/>
        <v>0</v>
      </c>
    </row>
    <row r="12" spans="1:27" s="149" customFormat="1" ht="42" customHeight="1">
      <c r="A12" s="163" t="s">
        <v>59</v>
      </c>
      <c r="B12" s="164" t="s">
        <v>306</v>
      </c>
      <c r="C12" s="164" t="s">
        <v>303</v>
      </c>
      <c r="D12" s="164" t="s">
        <v>300</v>
      </c>
      <c r="E12" s="165">
        <v>0.641</v>
      </c>
      <c r="F12" s="165">
        <v>0.12</v>
      </c>
      <c r="G12" s="165">
        <v>0.63</v>
      </c>
      <c r="H12" s="165">
        <f t="shared" si="1"/>
        <v>1.391</v>
      </c>
      <c r="I12" s="178"/>
      <c r="J12" s="178"/>
      <c r="K12" s="176">
        <v>279</v>
      </c>
      <c r="L12" s="177">
        <v>266</v>
      </c>
      <c r="M12" s="176">
        <v>242</v>
      </c>
      <c r="N12" s="169">
        <f t="shared" si="2"/>
        <v>870.3023333333333</v>
      </c>
      <c r="O12" s="169">
        <v>1123.93</v>
      </c>
      <c r="P12" s="169">
        <f t="shared" si="3"/>
        <v>-253.62766666666676</v>
      </c>
      <c r="Q12" s="188">
        <v>269</v>
      </c>
      <c r="R12" s="177">
        <v>266</v>
      </c>
      <c r="S12" s="169">
        <f t="shared" si="4"/>
        <v>-4.173</v>
      </c>
      <c r="T12" s="166">
        <f t="shared" si="5"/>
        <v>-257.8</v>
      </c>
      <c r="U12" s="177">
        <v>43</v>
      </c>
      <c r="V12" s="166">
        <f aca="true" t="shared" si="9" ref="V12:V17">ROUND(U12*H12/3,2)</f>
        <v>19.94</v>
      </c>
      <c r="W12" s="189">
        <f t="shared" si="6"/>
        <v>285</v>
      </c>
      <c r="X12" s="189">
        <v>285</v>
      </c>
      <c r="Z12" s="149">
        <f t="shared" si="7"/>
        <v>242</v>
      </c>
      <c r="AA12" s="149">
        <f t="shared" si="8"/>
        <v>43</v>
      </c>
    </row>
    <row r="13" spans="1:27" s="149" customFormat="1" ht="42" customHeight="1">
      <c r="A13" s="163"/>
      <c r="B13" s="164"/>
      <c r="C13" s="164" t="s">
        <v>307</v>
      </c>
      <c r="D13" s="164" t="s">
        <v>300</v>
      </c>
      <c r="E13" s="165">
        <v>0.641</v>
      </c>
      <c r="F13" s="165">
        <v>0.12</v>
      </c>
      <c r="G13" s="165">
        <v>0.63</v>
      </c>
      <c r="H13" s="165">
        <f t="shared" si="1"/>
        <v>1.391</v>
      </c>
      <c r="I13" s="178"/>
      <c r="J13" s="178"/>
      <c r="K13" s="176">
        <v>105</v>
      </c>
      <c r="L13" s="177">
        <v>108</v>
      </c>
      <c r="M13" s="176">
        <v>122</v>
      </c>
      <c r="N13" s="169">
        <f t="shared" si="2"/>
        <v>352.85033333333337</v>
      </c>
      <c r="O13" s="169">
        <v>432.6</v>
      </c>
      <c r="P13" s="169">
        <f t="shared" si="3"/>
        <v>-79.74966666666666</v>
      </c>
      <c r="Q13" s="188">
        <v>116</v>
      </c>
      <c r="R13" s="177">
        <v>108</v>
      </c>
      <c r="S13" s="169">
        <f t="shared" si="4"/>
        <v>-11.128</v>
      </c>
      <c r="T13" s="166">
        <f t="shared" si="5"/>
        <v>-90.88</v>
      </c>
      <c r="U13" s="177">
        <v>21</v>
      </c>
      <c r="V13" s="166">
        <f t="shared" si="9"/>
        <v>9.74</v>
      </c>
      <c r="W13" s="189">
        <f t="shared" si="6"/>
        <v>143</v>
      </c>
      <c r="X13" s="189">
        <v>143</v>
      </c>
      <c r="Z13" s="149">
        <f t="shared" si="7"/>
        <v>122</v>
      </c>
      <c r="AA13" s="149">
        <f t="shared" si="8"/>
        <v>21</v>
      </c>
    </row>
    <row r="14" spans="1:27" s="149" customFormat="1" ht="42" customHeight="1">
      <c r="A14" s="163" t="s">
        <v>55</v>
      </c>
      <c r="B14" s="167" t="s">
        <v>308</v>
      </c>
      <c r="C14" s="164" t="s">
        <v>303</v>
      </c>
      <c r="D14" s="164" t="s">
        <v>300</v>
      </c>
      <c r="E14" s="165">
        <v>0.641</v>
      </c>
      <c r="F14" s="165">
        <v>0.12</v>
      </c>
      <c r="G14" s="165">
        <v>0.63</v>
      </c>
      <c r="H14" s="165">
        <f t="shared" si="1"/>
        <v>1.391</v>
      </c>
      <c r="I14" s="178"/>
      <c r="J14" s="178"/>
      <c r="K14" s="178"/>
      <c r="L14" s="178"/>
      <c r="M14" s="176">
        <v>81</v>
      </c>
      <c r="N14" s="169">
        <f t="shared" si="2"/>
        <v>37.557</v>
      </c>
      <c r="O14" s="169">
        <v>0</v>
      </c>
      <c r="P14" s="169">
        <f t="shared" si="3"/>
        <v>37.557</v>
      </c>
      <c r="Q14" s="178"/>
      <c r="R14" s="178"/>
      <c r="S14" s="178"/>
      <c r="T14" s="166">
        <f t="shared" si="5"/>
        <v>37.56</v>
      </c>
      <c r="U14" s="177">
        <v>14</v>
      </c>
      <c r="V14" s="166">
        <f t="shared" si="9"/>
        <v>6.49</v>
      </c>
      <c r="W14" s="189">
        <f t="shared" si="6"/>
        <v>95</v>
      </c>
      <c r="X14" s="189">
        <v>95</v>
      </c>
      <c r="Z14" s="149">
        <f t="shared" si="7"/>
        <v>81</v>
      </c>
      <c r="AA14" s="149">
        <f t="shared" si="8"/>
        <v>14</v>
      </c>
    </row>
    <row r="15" spans="1:27" s="149" customFormat="1" ht="42" customHeight="1">
      <c r="A15" s="163"/>
      <c r="B15" s="167"/>
      <c r="C15" s="168" t="s">
        <v>307</v>
      </c>
      <c r="D15" s="168" t="s">
        <v>300</v>
      </c>
      <c r="E15" s="165">
        <v>0.641</v>
      </c>
      <c r="F15" s="165">
        <v>0.12</v>
      </c>
      <c r="G15" s="165">
        <v>0.63</v>
      </c>
      <c r="H15" s="165">
        <f t="shared" si="1"/>
        <v>1.391</v>
      </c>
      <c r="I15" s="178"/>
      <c r="J15" s="178"/>
      <c r="K15" s="176">
        <v>168</v>
      </c>
      <c r="L15" s="177">
        <v>120</v>
      </c>
      <c r="M15" s="176">
        <v>122</v>
      </c>
      <c r="N15" s="169">
        <f t="shared" si="2"/>
        <v>457.17533333333336</v>
      </c>
      <c r="O15" s="169">
        <v>682.98</v>
      </c>
      <c r="P15" s="169">
        <f t="shared" si="3"/>
        <v>-225.80466666666666</v>
      </c>
      <c r="Q15" s="188">
        <v>166</v>
      </c>
      <c r="R15" s="177">
        <v>120</v>
      </c>
      <c r="S15" s="169">
        <f>(R15-Q15)*H15</f>
        <v>-63.986000000000004</v>
      </c>
      <c r="T15" s="166">
        <f t="shared" si="5"/>
        <v>-289.79</v>
      </c>
      <c r="U15" s="177">
        <v>21</v>
      </c>
      <c r="V15" s="166">
        <f t="shared" si="9"/>
        <v>9.74</v>
      </c>
      <c r="W15" s="189">
        <f t="shared" si="6"/>
        <v>143</v>
      </c>
      <c r="X15" s="189">
        <v>143</v>
      </c>
      <c r="Z15" s="149">
        <f t="shared" si="7"/>
        <v>122</v>
      </c>
      <c r="AA15" s="149">
        <f t="shared" si="8"/>
        <v>21</v>
      </c>
    </row>
    <row r="16" spans="1:27" s="149" customFormat="1" ht="42" customHeight="1">
      <c r="A16" s="163" t="s">
        <v>51</v>
      </c>
      <c r="B16" s="167" t="s">
        <v>309</v>
      </c>
      <c r="C16" s="168" t="s">
        <v>307</v>
      </c>
      <c r="D16" s="168" t="s">
        <v>300</v>
      </c>
      <c r="E16" s="165">
        <v>0.641</v>
      </c>
      <c r="F16" s="165">
        <v>0.075</v>
      </c>
      <c r="G16" s="165">
        <v>0.63</v>
      </c>
      <c r="H16" s="165">
        <f t="shared" si="1"/>
        <v>1.346</v>
      </c>
      <c r="I16" s="178"/>
      <c r="J16" s="178"/>
      <c r="K16" s="178"/>
      <c r="L16" s="177">
        <v>54</v>
      </c>
      <c r="M16" s="176">
        <v>162</v>
      </c>
      <c r="N16" s="169">
        <f t="shared" si="2"/>
        <v>145.368</v>
      </c>
      <c r="O16" s="169">
        <v>145.37</v>
      </c>
      <c r="P16" s="169">
        <f t="shared" si="3"/>
        <v>-0.0020000000000095497</v>
      </c>
      <c r="Q16" s="188">
        <v>0</v>
      </c>
      <c r="R16" s="177">
        <v>54</v>
      </c>
      <c r="S16" s="169">
        <f>(R16-Q16)*H16</f>
        <v>72.684</v>
      </c>
      <c r="T16" s="166">
        <f t="shared" si="5"/>
        <v>72.68</v>
      </c>
      <c r="U16" s="177">
        <v>28</v>
      </c>
      <c r="V16" s="166">
        <f t="shared" si="9"/>
        <v>12.56</v>
      </c>
      <c r="W16" s="189">
        <f t="shared" si="6"/>
        <v>190</v>
      </c>
      <c r="X16" s="189">
        <v>190</v>
      </c>
      <c r="Z16" s="149">
        <f t="shared" si="7"/>
        <v>162</v>
      </c>
      <c r="AA16" s="149">
        <f t="shared" si="8"/>
        <v>28</v>
      </c>
    </row>
    <row r="17" spans="1:28" s="150" customFormat="1" ht="42" customHeight="1">
      <c r="A17" s="163" t="s">
        <v>58</v>
      </c>
      <c r="B17" s="167" t="s">
        <v>310</v>
      </c>
      <c r="C17" s="164" t="s">
        <v>303</v>
      </c>
      <c r="D17" s="164" t="s">
        <v>300</v>
      </c>
      <c r="E17" s="169">
        <v>0.641</v>
      </c>
      <c r="F17" s="169">
        <v>0.118</v>
      </c>
      <c r="G17" s="169">
        <v>0.63</v>
      </c>
      <c r="H17" s="165">
        <v>1.389</v>
      </c>
      <c r="I17" s="178"/>
      <c r="J17" s="178"/>
      <c r="K17" s="178"/>
      <c r="L17" s="178"/>
      <c r="M17" s="176">
        <v>122</v>
      </c>
      <c r="N17" s="169">
        <f t="shared" si="2"/>
        <v>56.486</v>
      </c>
      <c r="O17" s="169">
        <v>0</v>
      </c>
      <c r="P17" s="169">
        <f t="shared" si="3"/>
        <v>56.486</v>
      </c>
      <c r="Q17" s="178"/>
      <c r="R17" s="178"/>
      <c r="S17" s="178"/>
      <c r="T17" s="166">
        <f t="shared" si="5"/>
        <v>56.49</v>
      </c>
      <c r="U17" s="177">
        <v>21</v>
      </c>
      <c r="V17" s="166">
        <f t="shared" si="9"/>
        <v>9.72</v>
      </c>
      <c r="W17" s="189">
        <f t="shared" si="6"/>
        <v>143</v>
      </c>
      <c r="X17" s="189">
        <v>143</v>
      </c>
      <c r="Y17" s="149"/>
      <c r="Z17" s="149">
        <f t="shared" si="7"/>
        <v>122</v>
      </c>
      <c r="AA17" s="149">
        <f t="shared" si="8"/>
        <v>21</v>
      </c>
      <c r="AB17" s="149"/>
    </row>
  </sheetData>
  <sheetProtection/>
  <mergeCells count="22">
    <mergeCell ref="A1:B1"/>
    <mergeCell ref="A2:V2"/>
    <mergeCell ref="E4:H4"/>
    <mergeCell ref="I4:P4"/>
    <mergeCell ref="Q4:S4"/>
    <mergeCell ref="U4:V4"/>
    <mergeCell ref="A7:B7"/>
    <mergeCell ref="A4:A6"/>
    <mergeCell ref="A8:A9"/>
    <mergeCell ref="A10:A11"/>
    <mergeCell ref="A12:A13"/>
    <mergeCell ref="A14:A15"/>
    <mergeCell ref="B4:B6"/>
    <mergeCell ref="B8:B9"/>
    <mergeCell ref="B10:B11"/>
    <mergeCell ref="B12:B13"/>
    <mergeCell ref="B14:B15"/>
    <mergeCell ref="C4:C6"/>
    <mergeCell ref="C8:C9"/>
    <mergeCell ref="C10:C11"/>
    <mergeCell ref="D4:D6"/>
    <mergeCell ref="T4:T5"/>
  </mergeCells>
  <dataValidations count="2">
    <dataValidation type="list" allowBlank="1" showErrorMessage="1" sqref="C8:C17">
      <formula1>"临床医学,中医学"</formula1>
    </dataValidation>
    <dataValidation type="list" allowBlank="1" showErrorMessage="1" sqref="D8:G17">
      <formula1>"本科,专科"</formula1>
    </dataValidation>
  </dataValidations>
  <printOptions horizontalCentered="1"/>
  <pageMargins left="0.4722222222222222" right="0.4722222222222222" top="0.5902777777777778" bottom="0.7868055555555555" header="0.5118055555555555" footer="0.5118055555555555"/>
  <pageSetup fitToHeight="0" fitToWidth="1" horizontalDpi="600" verticalDpi="600" orientation="landscape" paperSize="9" scale="40"/>
</worksheet>
</file>

<file path=xl/worksheets/sheet8.xml><?xml version="1.0" encoding="utf-8"?>
<worksheet xmlns="http://schemas.openxmlformats.org/spreadsheetml/2006/main" xmlns:r="http://schemas.openxmlformats.org/officeDocument/2006/relationships">
  <sheetPr>
    <pageSetUpPr fitToPage="1"/>
  </sheetPr>
  <dimension ref="A1:I66"/>
  <sheetViews>
    <sheetView zoomScaleSheetLayoutView="100" workbookViewId="0" topLeftCell="A1">
      <selection activeCell="I5" sqref="I5"/>
    </sheetView>
  </sheetViews>
  <sheetFormatPr defaultColWidth="8.7109375" defaultRowHeight="15"/>
  <cols>
    <col min="1" max="1" width="24.421875" style="0" customWidth="1"/>
    <col min="2" max="2" width="9.00390625" style="0" bestFit="1" customWidth="1"/>
    <col min="3" max="3" width="10.421875" style="0" customWidth="1"/>
    <col min="4" max="4" width="9.00390625" style="0" bestFit="1" customWidth="1"/>
    <col min="5" max="5" width="11.140625" style="0" customWidth="1"/>
    <col min="6" max="6" width="10.421875" style="0" customWidth="1"/>
    <col min="7" max="8" width="9.00390625" style="0" bestFit="1" customWidth="1"/>
    <col min="9" max="9" width="10.00390625" style="0" customWidth="1"/>
  </cols>
  <sheetData>
    <row r="1" ht="18" customHeight="1">
      <c r="A1" s="130" t="s">
        <v>339</v>
      </c>
    </row>
    <row r="2" spans="1:9" ht="21.75" customHeight="1">
      <c r="A2" s="131" t="s">
        <v>340</v>
      </c>
      <c r="B2" s="131"/>
      <c r="C2" s="131"/>
      <c r="D2" s="131"/>
      <c r="E2" s="131"/>
      <c r="F2" s="131"/>
      <c r="G2" s="131"/>
      <c r="H2" s="131"/>
      <c r="I2" s="131"/>
    </row>
    <row r="3" spans="1:9" ht="18" customHeight="1">
      <c r="A3" s="131"/>
      <c r="B3" s="131"/>
      <c r="C3" s="131"/>
      <c r="D3" s="131"/>
      <c r="E3" s="131"/>
      <c r="F3" s="131"/>
      <c r="G3" s="131"/>
      <c r="H3" s="131"/>
      <c r="I3" s="144" t="s">
        <v>2</v>
      </c>
    </row>
    <row r="4" spans="1:9" s="129" customFormat="1" ht="42.75" customHeight="1">
      <c r="A4" s="132" t="s">
        <v>341</v>
      </c>
      <c r="B4" s="132" t="s">
        <v>342</v>
      </c>
      <c r="C4" s="132" t="s">
        <v>343</v>
      </c>
      <c r="D4" s="132" t="s">
        <v>344</v>
      </c>
      <c r="E4" s="132" t="s">
        <v>345</v>
      </c>
      <c r="F4" s="132" t="s">
        <v>346</v>
      </c>
      <c r="G4" s="132" t="s">
        <v>347</v>
      </c>
      <c r="H4" s="132" t="s">
        <v>348</v>
      </c>
      <c r="I4" s="132" t="s">
        <v>349</v>
      </c>
    </row>
    <row r="5" spans="1:9" ht="42.75" customHeight="1">
      <c r="A5" s="133" t="s">
        <v>241</v>
      </c>
      <c r="B5" s="133" t="s">
        <v>209</v>
      </c>
      <c r="C5" s="133" t="s">
        <v>210</v>
      </c>
      <c r="D5" s="133" t="s">
        <v>350</v>
      </c>
      <c r="E5" s="133" t="s">
        <v>212</v>
      </c>
      <c r="F5" s="133" t="s">
        <v>351</v>
      </c>
      <c r="G5" s="133" t="s">
        <v>352</v>
      </c>
      <c r="H5" s="133" t="s">
        <v>260</v>
      </c>
      <c r="I5" s="133" t="s">
        <v>353</v>
      </c>
    </row>
    <row r="6" spans="1:9" ht="21" customHeight="1">
      <c r="A6" s="134" t="s">
        <v>4</v>
      </c>
      <c r="B6" s="135"/>
      <c r="C6" s="135"/>
      <c r="D6" s="135"/>
      <c r="E6" s="135"/>
      <c r="F6" s="135"/>
      <c r="G6" s="135"/>
      <c r="H6" s="135">
        <v>300</v>
      </c>
      <c r="I6" s="145">
        <v>3400</v>
      </c>
    </row>
    <row r="7" spans="1:9" ht="21" customHeight="1">
      <c r="A7" s="134" t="s">
        <v>354</v>
      </c>
      <c r="B7" s="135"/>
      <c r="C7" s="135"/>
      <c r="D7" s="135"/>
      <c r="E7" s="135"/>
      <c r="F7" s="135"/>
      <c r="G7" s="135"/>
      <c r="H7" s="135">
        <v>80</v>
      </c>
      <c r="I7" s="145">
        <v>1200</v>
      </c>
    </row>
    <row r="8" spans="1:9" ht="21" customHeight="1">
      <c r="A8" s="136" t="s">
        <v>66</v>
      </c>
      <c r="B8" s="137">
        <v>15</v>
      </c>
      <c r="C8" s="137">
        <v>35.39</v>
      </c>
      <c r="D8" s="138">
        <v>0.0620452672732692</v>
      </c>
      <c r="E8" s="139">
        <v>84.3</v>
      </c>
      <c r="F8" s="138">
        <v>0.0440639910188044</v>
      </c>
      <c r="G8" s="138">
        <v>0.049458373895143834</v>
      </c>
      <c r="H8" s="140">
        <v>4</v>
      </c>
      <c r="I8" s="146">
        <v>60</v>
      </c>
    </row>
    <row r="9" spans="1:9" ht="21" customHeight="1">
      <c r="A9" s="136" t="s">
        <v>69</v>
      </c>
      <c r="B9" s="137">
        <v>15</v>
      </c>
      <c r="C9" s="137">
        <v>18.73</v>
      </c>
      <c r="D9" s="138">
        <v>0.0328371815775171</v>
      </c>
      <c r="E9" s="139">
        <v>68.8</v>
      </c>
      <c r="F9" s="138">
        <v>0.0875666573112546</v>
      </c>
      <c r="G9" s="138">
        <v>0.07114781459113334</v>
      </c>
      <c r="H9" s="140">
        <v>6</v>
      </c>
      <c r="I9" s="146">
        <v>90</v>
      </c>
    </row>
    <row r="10" spans="1:9" ht="21" customHeight="1">
      <c r="A10" s="136" t="s">
        <v>355</v>
      </c>
      <c r="B10" s="137">
        <v>15</v>
      </c>
      <c r="C10" s="137">
        <v>35.39</v>
      </c>
      <c r="D10" s="138">
        <v>0.0620452672732692</v>
      </c>
      <c r="E10" s="139">
        <v>81.5</v>
      </c>
      <c r="F10" s="138">
        <v>0.0519225371877631</v>
      </c>
      <c r="G10" s="138">
        <v>0.054959356213414925</v>
      </c>
      <c r="H10" s="140">
        <v>4</v>
      </c>
      <c r="I10" s="146">
        <v>60</v>
      </c>
    </row>
    <row r="11" spans="1:9" ht="21" customHeight="1">
      <c r="A11" s="136" t="s">
        <v>70</v>
      </c>
      <c r="B11" s="137">
        <v>15</v>
      </c>
      <c r="C11" s="137">
        <v>59.55</v>
      </c>
      <c r="D11" s="138">
        <v>0.104402251091359</v>
      </c>
      <c r="E11" s="139">
        <v>91</v>
      </c>
      <c r="F11" s="138">
        <v>0.0252596126859388</v>
      </c>
      <c r="G11" s="138">
        <v>0.049002404207564854</v>
      </c>
      <c r="H11" s="140">
        <v>4</v>
      </c>
      <c r="I11" s="146">
        <v>60</v>
      </c>
    </row>
    <row r="12" spans="1:9" ht="21" customHeight="1">
      <c r="A12" s="136" t="s">
        <v>72</v>
      </c>
      <c r="B12" s="137">
        <v>15</v>
      </c>
      <c r="C12" s="137">
        <v>28.52</v>
      </c>
      <c r="D12" s="138">
        <v>0.0500008765932082</v>
      </c>
      <c r="E12" s="139">
        <v>77.7</v>
      </c>
      <c r="F12" s="138">
        <v>0.0625877069884928</v>
      </c>
      <c r="G12" s="138">
        <v>0.05881165786990741</v>
      </c>
      <c r="H12" s="140">
        <v>5</v>
      </c>
      <c r="I12" s="146">
        <v>75</v>
      </c>
    </row>
    <row r="13" spans="1:9" ht="21" customHeight="1">
      <c r="A13" s="136" t="s">
        <v>73</v>
      </c>
      <c r="B13" s="137">
        <v>15</v>
      </c>
      <c r="C13" s="137">
        <v>77.94</v>
      </c>
      <c r="D13" s="138">
        <v>0.13664334928733</v>
      </c>
      <c r="E13" s="139">
        <v>66.8</v>
      </c>
      <c r="F13" s="138">
        <v>0.0931799045747965</v>
      </c>
      <c r="G13" s="138">
        <v>0.10621893798855654</v>
      </c>
      <c r="H13" s="140">
        <v>8</v>
      </c>
      <c r="I13" s="146">
        <v>120</v>
      </c>
    </row>
    <row r="14" spans="1:9" ht="21" customHeight="1">
      <c r="A14" s="136" t="s">
        <v>356</v>
      </c>
      <c r="B14" s="137">
        <v>15</v>
      </c>
      <c r="C14" s="137">
        <v>19.05</v>
      </c>
      <c r="D14" s="138">
        <v>0.0333982012307369</v>
      </c>
      <c r="E14" s="139">
        <v>60.7</v>
      </c>
      <c r="F14" s="138">
        <v>0.110300308728599</v>
      </c>
      <c r="G14" s="138">
        <v>0.08722967647924036</v>
      </c>
      <c r="H14" s="140">
        <v>5</v>
      </c>
      <c r="I14" s="146">
        <v>75</v>
      </c>
    </row>
    <row r="15" spans="1:9" ht="21" customHeight="1">
      <c r="A15" s="136" t="s">
        <v>357</v>
      </c>
      <c r="B15" s="137">
        <v>15</v>
      </c>
      <c r="C15" s="137">
        <v>18.44</v>
      </c>
      <c r="D15" s="138">
        <v>0.0323287575167868</v>
      </c>
      <c r="E15" s="139">
        <v>66.1</v>
      </c>
      <c r="F15" s="138">
        <v>0.0951445411170362</v>
      </c>
      <c r="G15" s="138">
        <v>0.07629980603696138</v>
      </c>
      <c r="H15" s="140">
        <v>7</v>
      </c>
      <c r="I15" s="146">
        <v>105</v>
      </c>
    </row>
    <row r="16" spans="1:9" ht="21" customHeight="1">
      <c r="A16" s="136" t="s">
        <v>74</v>
      </c>
      <c r="B16" s="137">
        <v>15</v>
      </c>
      <c r="C16" s="137">
        <v>33.09</v>
      </c>
      <c r="D16" s="138">
        <v>0.0580129385157524</v>
      </c>
      <c r="E16" s="139">
        <v>72</v>
      </c>
      <c r="F16" s="138">
        <v>0.0785854616895874</v>
      </c>
      <c r="G16" s="138">
        <v>0.07241370473743688</v>
      </c>
      <c r="H16" s="140">
        <v>7</v>
      </c>
      <c r="I16" s="146">
        <v>105</v>
      </c>
    </row>
    <row r="17" spans="1:9" ht="21" customHeight="1">
      <c r="A17" s="136" t="s">
        <v>75</v>
      </c>
      <c r="B17" s="137">
        <v>15</v>
      </c>
      <c r="C17" s="137">
        <v>47.87</v>
      </c>
      <c r="D17" s="138">
        <v>0.0839250337488385</v>
      </c>
      <c r="E17" s="139">
        <v>68.4</v>
      </c>
      <c r="F17" s="138">
        <v>0.0886893067639629</v>
      </c>
      <c r="G17" s="138">
        <v>0.08726002485942558</v>
      </c>
      <c r="H17" s="140">
        <v>7</v>
      </c>
      <c r="I17" s="146">
        <v>105</v>
      </c>
    </row>
    <row r="18" spans="1:9" ht="21" customHeight="1">
      <c r="A18" s="136" t="s">
        <v>76</v>
      </c>
      <c r="B18" s="137">
        <v>15</v>
      </c>
      <c r="C18" s="141">
        <v>91.7</v>
      </c>
      <c r="D18" s="138">
        <v>0.160767194375778</v>
      </c>
      <c r="E18" s="139">
        <v>83.2</v>
      </c>
      <c r="F18" s="138">
        <v>0.0471512770137524</v>
      </c>
      <c r="G18" s="138">
        <v>0.08123605222236008</v>
      </c>
      <c r="H18" s="140">
        <v>6</v>
      </c>
      <c r="I18" s="146">
        <v>90</v>
      </c>
    </row>
    <row r="19" spans="1:9" ht="21" customHeight="1">
      <c r="A19" s="136" t="s">
        <v>92</v>
      </c>
      <c r="B19" s="137">
        <v>15</v>
      </c>
      <c r="C19" s="137">
        <v>9.51</v>
      </c>
      <c r="D19" s="138">
        <v>0.0166728028191238</v>
      </c>
      <c r="E19" s="139">
        <v>86.5</v>
      </c>
      <c r="F19" s="138">
        <v>0.0378894190289082</v>
      </c>
      <c r="G19" s="138">
        <v>0.03152443416597288</v>
      </c>
      <c r="H19" s="140">
        <v>3</v>
      </c>
      <c r="I19" s="146">
        <v>45</v>
      </c>
    </row>
    <row r="20" spans="1:9" ht="21" customHeight="1">
      <c r="A20" s="136" t="s">
        <v>93</v>
      </c>
      <c r="B20" s="137">
        <v>15</v>
      </c>
      <c r="C20" s="137">
        <v>13.47</v>
      </c>
      <c r="D20" s="138">
        <v>0.0236154210277179</v>
      </c>
      <c r="E20" s="139">
        <v>78.8</v>
      </c>
      <c r="F20" s="138">
        <v>0.0595004209935448</v>
      </c>
      <c r="G20" s="138">
        <v>0.04873492100379673</v>
      </c>
      <c r="H20" s="140">
        <v>4</v>
      </c>
      <c r="I20" s="146">
        <v>60</v>
      </c>
    </row>
    <row r="21" spans="1:9" ht="21" customHeight="1">
      <c r="A21" s="136" t="s">
        <v>94</v>
      </c>
      <c r="B21" s="137">
        <v>15</v>
      </c>
      <c r="C21" s="137">
        <v>81.74</v>
      </c>
      <c r="D21" s="138">
        <v>0.143305457669314</v>
      </c>
      <c r="E21" s="139">
        <v>57.9</v>
      </c>
      <c r="F21" s="138">
        <v>0.118158854897558</v>
      </c>
      <c r="G21" s="138">
        <v>0.1257028357290848</v>
      </c>
      <c r="H21" s="140">
        <v>10</v>
      </c>
      <c r="I21" s="146">
        <v>150</v>
      </c>
    </row>
    <row r="22" spans="1:9" ht="21" customHeight="1">
      <c r="A22" s="142" t="s">
        <v>358</v>
      </c>
      <c r="B22" s="135"/>
      <c r="C22" s="135"/>
      <c r="D22" s="135"/>
      <c r="E22" s="139"/>
      <c r="F22" s="135"/>
      <c r="G22" s="135"/>
      <c r="H22" s="135">
        <v>220</v>
      </c>
      <c r="I22" s="145">
        <v>2200</v>
      </c>
    </row>
    <row r="23" spans="1:9" ht="21" customHeight="1">
      <c r="A23" s="136" t="s">
        <v>65</v>
      </c>
      <c r="B23" s="137">
        <v>10</v>
      </c>
      <c r="C23" s="137">
        <v>6.44</v>
      </c>
      <c r="D23" s="138">
        <v>0.00217774306013479</v>
      </c>
      <c r="E23" s="139">
        <v>57.3</v>
      </c>
      <c r="F23" s="138">
        <v>0.0541946947582181</v>
      </c>
      <c r="G23" s="138">
        <v>0.03858960924879311</v>
      </c>
      <c r="H23" s="140">
        <v>6</v>
      </c>
      <c r="I23" s="146">
        <v>60</v>
      </c>
    </row>
    <row r="24" spans="1:9" ht="21" customHeight="1">
      <c r="A24" s="136" t="s">
        <v>359</v>
      </c>
      <c r="B24" s="137">
        <v>10</v>
      </c>
      <c r="C24" s="137">
        <v>38.34</v>
      </c>
      <c r="D24" s="138">
        <v>0.0129650107027279</v>
      </c>
      <c r="E24" s="139">
        <v>82.3</v>
      </c>
      <c r="F24" s="138">
        <v>0.0224647797943902</v>
      </c>
      <c r="G24" s="138">
        <v>0.019614849066891506</v>
      </c>
      <c r="H24" s="140">
        <v>4</v>
      </c>
      <c r="I24" s="146">
        <v>40</v>
      </c>
    </row>
    <row r="25" spans="1:9" ht="21" customHeight="1">
      <c r="A25" s="136" t="s">
        <v>67</v>
      </c>
      <c r="B25" s="137">
        <v>10</v>
      </c>
      <c r="C25" s="137">
        <v>18.6</v>
      </c>
      <c r="D25" s="138">
        <v>0.00628975480101042</v>
      </c>
      <c r="E25" s="139">
        <v>64.7</v>
      </c>
      <c r="F25" s="138">
        <v>0.044802639928925</v>
      </c>
      <c r="G25" s="138">
        <v>0.03324877439055062</v>
      </c>
      <c r="H25" s="140">
        <v>7</v>
      </c>
      <c r="I25" s="146">
        <v>70</v>
      </c>
    </row>
    <row r="26" spans="1:9" ht="21" customHeight="1">
      <c r="A26" s="143" t="s">
        <v>360</v>
      </c>
      <c r="B26" s="137">
        <v>10</v>
      </c>
      <c r="C26" s="137">
        <v>19.81</v>
      </c>
      <c r="D26" s="138">
        <v>0.00669892702193636</v>
      </c>
      <c r="E26" s="139">
        <v>80.9</v>
      </c>
      <c r="F26" s="138">
        <v>0.0242416550323645</v>
      </c>
      <c r="G26" s="138">
        <v>0.018978836629236058</v>
      </c>
      <c r="H26" s="140">
        <v>4</v>
      </c>
      <c r="I26" s="146">
        <v>40</v>
      </c>
    </row>
    <row r="27" spans="1:9" ht="21" customHeight="1">
      <c r="A27" s="143" t="s">
        <v>68</v>
      </c>
      <c r="B27" s="137">
        <v>10</v>
      </c>
      <c r="C27" s="137">
        <v>32.25</v>
      </c>
      <c r="D27" s="138">
        <v>0.0109056232436874</v>
      </c>
      <c r="E27" s="139">
        <v>82.4</v>
      </c>
      <c r="F27" s="138">
        <v>0.0223378601345348</v>
      </c>
      <c r="G27" s="138">
        <v>0.01890818906728058</v>
      </c>
      <c r="H27" s="140">
        <v>4</v>
      </c>
      <c r="I27" s="146">
        <v>40</v>
      </c>
    </row>
    <row r="28" spans="1:9" ht="21" customHeight="1">
      <c r="A28" s="143" t="s">
        <v>361</v>
      </c>
      <c r="B28" s="137">
        <v>10</v>
      </c>
      <c r="C28" s="137">
        <v>19.54</v>
      </c>
      <c r="D28" s="138">
        <v>0.00660762412966363</v>
      </c>
      <c r="E28" s="139">
        <v>83.7</v>
      </c>
      <c r="F28" s="138">
        <v>0.0206879045564158</v>
      </c>
      <c r="G28" s="138">
        <v>0.016463820428390147</v>
      </c>
      <c r="H28" s="140">
        <v>4</v>
      </c>
      <c r="I28" s="146">
        <v>40</v>
      </c>
    </row>
    <row r="29" spans="1:9" ht="21" customHeight="1">
      <c r="A29" s="143" t="s">
        <v>362</v>
      </c>
      <c r="B29" s="137">
        <v>10</v>
      </c>
      <c r="C29" s="137">
        <v>34.84</v>
      </c>
      <c r="D29" s="138">
        <v>0.0117814546917851</v>
      </c>
      <c r="E29" s="139">
        <v>50.1</v>
      </c>
      <c r="F29" s="138">
        <v>0.0633329102678005</v>
      </c>
      <c r="G29" s="138">
        <v>0.04786747359499587</v>
      </c>
      <c r="H29" s="140">
        <v>11</v>
      </c>
      <c r="I29" s="146">
        <v>110</v>
      </c>
    </row>
    <row r="30" spans="1:9" ht="21" customHeight="1">
      <c r="A30" s="143" t="s">
        <v>71</v>
      </c>
      <c r="B30" s="137">
        <v>10</v>
      </c>
      <c r="C30" s="137">
        <v>55.11</v>
      </c>
      <c r="D30" s="138">
        <v>0.0186359347894454</v>
      </c>
      <c r="E30" s="139">
        <v>77.2</v>
      </c>
      <c r="F30" s="138">
        <v>0.028937682447011</v>
      </c>
      <c r="G30" s="138">
        <v>0.025847158149741322</v>
      </c>
      <c r="H30" s="140">
        <v>6</v>
      </c>
      <c r="I30" s="146">
        <v>60</v>
      </c>
    </row>
    <row r="31" spans="1:9" ht="21" customHeight="1">
      <c r="A31" s="143" t="s">
        <v>363</v>
      </c>
      <c r="B31" s="137">
        <v>10</v>
      </c>
      <c r="C31" s="137">
        <v>101.81</v>
      </c>
      <c r="D31" s="138">
        <v>0.0344279535640253</v>
      </c>
      <c r="E31" s="139">
        <v>76.4</v>
      </c>
      <c r="F31" s="138">
        <v>0.0299530397258535</v>
      </c>
      <c r="G31" s="138">
        <v>0.03129551387730504</v>
      </c>
      <c r="H31" s="140">
        <v>4</v>
      </c>
      <c r="I31" s="146">
        <v>40</v>
      </c>
    </row>
    <row r="32" spans="1:9" ht="21" customHeight="1">
      <c r="A32" s="143" t="s">
        <v>77</v>
      </c>
      <c r="B32" s="137">
        <v>10</v>
      </c>
      <c r="C32" s="137">
        <v>121.09</v>
      </c>
      <c r="D32" s="138">
        <v>0.0409476563900189</v>
      </c>
      <c r="E32" s="139">
        <v>63.5</v>
      </c>
      <c r="F32" s="138">
        <v>0.0463256758471887</v>
      </c>
      <c r="G32" s="138">
        <v>0.04471227001003776</v>
      </c>
      <c r="H32" s="140">
        <v>8</v>
      </c>
      <c r="I32" s="146">
        <v>80</v>
      </c>
    </row>
    <row r="33" spans="1:9" ht="21" customHeight="1">
      <c r="A33" s="143" t="s">
        <v>364</v>
      </c>
      <c r="B33" s="137">
        <v>10</v>
      </c>
      <c r="C33" s="137">
        <v>31.92</v>
      </c>
      <c r="D33" s="138">
        <v>0.0107940308197985</v>
      </c>
      <c r="E33" s="139">
        <v>62.6</v>
      </c>
      <c r="F33" s="138">
        <v>0.0474679527858865</v>
      </c>
      <c r="G33" s="138">
        <v>0.036465776196060104</v>
      </c>
      <c r="H33" s="140">
        <v>8</v>
      </c>
      <c r="I33" s="146">
        <v>80</v>
      </c>
    </row>
    <row r="34" spans="1:9" ht="21" customHeight="1">
      <c r="A34" s="143" t="s">
        <v>78</v>
      </c>
      <c r="B34" s="137">
        <v>10</v>
      </c>
      <c r="C34" s="137">
        <v>122.16</v>
      </c>
      <c r="D34" s="138">
        <v>0.0413094863705071</v>
      </c>
      <c r="E34" s="139">
        <v>72.8</v>
      </c>
      <c r="F34" s="138">
        <v>0.0345221474806448</v>
      </c>
      <c r="G34" s="138">
        <v>0.03655834914760349</v>
      </c>
      <c r="H34" s="140">
        <v>8</v>
      </c>
      <c r="I34" s="146">
        <v>80</v>
      </c>
    </row>
    <row r="35" spans="1:9" ht="21" customHeight="1">
      <c r="A35" s="143" t="s">
        <v>79</v>
      </c>
      <c r="B35" s="137">
        <v>10</v>
      </c>
      <c r="C35" s="137">
        <v>73.68</v>
      </c>
      <c r="D35" s="138">
        <v>0.0249155448246477</v>
      </c>
      <c r="E35" s="139">
        <v>77.5</v>
      </c>
      <c r="F35" s="138">
        <v>0.0285569234674451</v>
      </c>
      <c r="G35" s="138">
        <v>0.02746450987460588</v>
      </c>
      <c r="H35" s="140">
        <v>6</v>
      </c>
      <c r="I35" s="146">
        <v>60</v>
      </c>
    </row>
    <row r="36" spans="1:9" ht="21" customHeight="1">
      <c r="A36" s="143" t="s">
        <v>80</v>
      </c>
      <c r="B36" s="137">
        <v>10</v>
      </c>
      <c r="C36" s="137">
        <v>24.92</v>
      </c>
      <c r="D36" s="138">
        <v>0.00842691879791288</v>
      </c>
      <c r="E36" s="139">
        <v>76.8</v>
      </c>
      <c r="F36" s="138">
        <v>0.0294453610864323</v>
      </c>
      <c r="G36" s="138">
        <v>0.023139828399876473</v>
      </c>
      <c r="H36" s="140">
        <v>5</v>
      </c>
      <c r="I36" s="146">
        <v>50</v>
      </c>
    </row>
    <row r="37" spans="1:9" ht="21" customHeight="1">
      <c r="A37" s="143" t="s">
        <v>365</v>
      </c>
      <c r="B37" s="137">
        <v>10</v>
      </c>
      <c r="C37" s="137">
        <v>90.77</v>
      </c>
      <c r="D37" s="138">
        <v>0.0306946797466514</v>
      </c>
      <c r="E37" s="139">
        <v>90.1</v>
      </c>
      <c r="F37" s="138">
        <v>0.0125650463256759</v>
      </c>
      <c r="G37" s="138">
        <v>0.01800393635196855</v>
      </c>
      <c r="H37" s="140">
        <v>4</v>
      </c>
      <c r="I37" s="146">
        <v>40</v>
      </c>
    </row>
    <row r="38" spans="1:9" ht="21" customHeight="1">
      <c r="A38" s="143" t="s">
        <v>366</v>
      </c>
      <c r="B38" s="137">
        <v>10</v>
      </c>
      <c r="C38" s="137">
        <v>74.88</v>
      </c>
      <c r="D38" s="138">
        <v>0.025321335456971</v>
      </c>
      <c r="E38" s="139">
        <v>85.9</v>
      </c>
      <c r="F38" s="138">
        <v>0.0178956720395989</v>
      </c>
      <c r="G38" s="138">
        <v>0.020123371064810526</v>
      </c>
      <c r="H38" s="140">
        <v>4</v>
      </c>
      <c r="I38" s="146">
        <v>40</v>
      </c>
    </row>
    <row r="39" spans="1:9" ht="21" customHeight="1">
      <c r="A39" s="143" t="s">
        <v>367</v>
      </c>
      <c r="B39" s="137">
        <v>10</v>
      </c>
      <c r="C39" s="137">
        <v>48.39</v>
      </c>
      <c r="D39" s="138">
        <v>0.0163635072484352</v>
      </c>
      <c r="E39" s="139">
        <v>78.6</v>
      </c>
      <c r="F39" s="138">
        <v>0.0271608072090367</v>
      </c>
      <c r="G39" s="138">
        <v>0.02392161722085625</v>
      </c>
      <c r="H39" s="140">
        <v>5</v>
      </c>
      <c r="I39" s="146">
        <v>50</v>
      </c>
    </row>
    <row r="40" spans="1:9" ht="21" customHeight="1">
      <c r="A40" s="143" t="s">
        <v>368</v>
      </c>
      <c r="B40" s="137">
        <v>10</v>
      </c>
      <c r="C40" s="137">
        <v>53.07</v>
      </c>
      <c r="D40" s="138">
        <v>0.0179460907144959</v>
      </c>
      <c r="E40" s="139">
        <v>75.5</v>
      </c>
      <c r="F40" s="138">
        <v>0.0310953166645513</v>
      </c>
      <c r="G40" s="138">
        <v>0.027150548879534678</v>
      </c>
      <c r="H40" s="140">
        <v>6</v>
      </c>
      <c r="I40" s="146">
        <v>60</v>
      </c>
    </row>
    <row r="41" spans="1:9" ht="21" customHeight="1">
      <c r="A41" s="143" t="s">
        <v>81</v>
      </c>
      <c r="B41" s="137">
        <v>10</v>
      </c>
      <c r="C41" s="137">
        <v>87.59</v>
      </c>
      <c r="D41" s="138">
        <v>0.0296193345709948</v>
      </c>
      <c r="E41" s="139">
        <v>92.8</v>
      </c>
      <c r="F41" s="138">
        <v>0.00913821550958244</v>
      </c>
      <c r="G41" s="138">
        <v>0.015282551228006147</v>
      </c>
      <c r="H41" s="140">
        <v>3</v>
      </c>
      <c r="I41" s="146">
        <v>30</v>
      </c>
    </row>
    <row r="42" spans="1:9" ht="21" customHeight="1">
      <c r="A42" s="143" t="s">
        <v>369</v>
      </c>
      <c r="B42" s="137">
        <v>10</v>
      </c>
      <c r="C42" s="137">
        <v>43.41</v>
      </c>
      <c r="D42" s="138">
        <v>0.0146794761242937</v>
      </c>
      <c r="E42" s="139">
        <v>76.2</v>
      </c>
      <c r="F42" s="138">
        <v>0.0302068790455642</v>
      </c>
      <c r="G42" s="138">
        <v>0.02554865816918305</v>
      </c>
      <c r="H42" s="140">
        <v>6</v>
      </c>
      <c r="I42" s="146">
        <v>60</v>
      </c>
    </row>
    <row r="43" spans="1:9" ht="21" customHeight="1">
      <c r="A43" s="143" t="s">
        <v>82</v>
      </c>
      <c r="B43" s="137">
        <v>10</v>
      </c>
      <c r="C43" s="137">
        <v>132.11</v>
      </c>
      <c r="D43" s="138">
        <v>0.0446741670301874</v>
      </c>
      <c r="E43" s="139">
        <v>81.1</v>
      </c>
      <c r="F43" s="138">
        <v>0.0239878157126539</v>
      </c>
      <c r="G43" s="138">
        <v>0.03019372110791395</v>
      </c>
      <c r="H43" s="140">
        <v>7</v>
      </c>
      <c r="I43" s="146">
        <v>70</v>
      </c>
    </row>
    <row r="44" spans="1:9" ht="21" customHeight="1">
      <c r="A44" s="143" t="s">
        <v>83</v>
      </c>
      <c r="B44" s="137">
        <v>10</v>
      </c>
      <c r="C44" s="137">
        <v>136.35</v>
      </c>
      <c r="D44" s="138">
        <v>0.0461079605977296</v>
      </c>
      <c r="E44" s="139">
        <v>81</v>
      </c>
      <c r="F44" s="138">
        <v>0.0241147353725092</v>
      </c>
      <c r="G44" s="138">
        <v>0.030712702940075318</v>
      </c>
      <c r="H44" s="140">
        <v>7</v>
      </c>
      <c r="I44" s="146">
        <v>70</v>
      </c>
    </row>
    <row r="45" spans="1:9" ht="21" customHeight="1">
      <c r="A45" s="143" t="s">
        <v>370</v>
      </c>
      <c r="B45" s="137">
        <v>10</v>
      </c>
      <c r="C45" s="137">
        <v>90.74</v>
      </c>
      <c r="D45" s="138">
        <v>0.0306845349808433</v>
      </c>
      <c r="E45" s="139">
        <v>80.9</v>
      </c>
      <c r="F45" s="138">
        <v>0.0242416550323645</v>
      </c>
      <c r="G45" s="138">
        <v>0.02617451901690814</v>
      </c>
      <c r="H45" s="140">
        <v>6</v>
      </c>
      <c r="I45" s="146">
        <v>60</v>
      </c>
    </row>
    <row r="46" spans="1:9" ht="21" customHeight="1">
      <c r="A46" s="143" t="s">
        <v>371</v>
      </c>
      <c r="B46" s="137">
        <v>10</v>
      </c>
      <c r="C46" s="137">
        <v>82.46</v>
      </c>
      <c r="D46" s="138">
        <v>0.0278845796178129</v>
      </c>
      <c r="E46" s="139">
        <v>70.3</v>
      </c>
      <c r="F46" s="138">
        <v>0.0376951389770275</v>
      </c>
      <c r="G46" s="138">
        <v>0.03475197116926312</v>
      </c>
      <c r="H46" s="140">
        <v>8</v>
      </c>
      <c r="I46" s="146">
        <v>80</v>
      </c>
    </row>
    <row r="47" spans="1:9" ht="21" customHeight="1">
      <c r="A47" s="143" t="s">
        <v>84</v>
      </c>
      <c r="B47" s="137">
        <v>10</v>
      </c>
      <c r="C47" s="137">
        <v>63.33</v>
      </c>
      <c r="D47" s="138">
        <v>0.0214156006208597</v>
      </c>
      <c r="E47" s="139">
        <v>86.2</v>
      </c>
      <c r="F47" s="138">
        <v>0.017514913060033</v>
      </c>
      <c r="G47" s="138">
        <v>0.01868511932828101</v>
      </c>
      <c r="H47" s="140">
        <v>4</v>
      </c>
      <c r="I47" s="146">
        <v>40</v>
      </c>
    </row>
    <row r="48" spans="1:9" ht="21" customHeight="1">
      <c r="A48" s="143" t="s">
        <v>372</v>
      </c>
      <c r="B48" s="137">
        <v>10</v>
      </c>
      <c r="C48" s="137">
        <v>101.46</v>
      </c>
      <c r="D48" s="138">
        <v>0.034309597962931</v>
      </c>
      <c r="E48" s="139">
        <v>93.2</v>
      </c>
      <c r="F48" s="138">
        <v>0.00863053687016118</v>
      </c>
      <c r="G48" s="138">
        <v>0.016334255197992125</v>
      </c>
      <c r="H48" s="140">
        <v>4</v>
      </c>
      <c r="I48" s="146">
        <v>40</v>
      </c>
    </row>
    <row r="49" spans="1:9" ht="21" customHeight="1">
      <c r="A49" s="143" t="s">
        <v>85</v>
      </c>
      <c r="B49" s="137">
        <v>10</v>
      </c>
      <c r="C49" s="137">
        <v>132.87</v>
      </c>
      <c r="D49" s="138">
        <v>0.0449311677639922</v>
      </c>
      <c r="E49" s="139">
        <v>96.4</v>
      </c>
      <c r="F49" s="138">
        <v>0.00456910775479121</v>
      </c>
      <c r="G49" s="138">
        <v>0.016677725757551505</v>
      </c>
      <c r="H49" s="140">
        <v>4</v>
      </c>
      <c r="I49" s="146">
        <v>40</v>
      </c>
    </row>
    <row r="50" spans="1:9" ht="21" customHeight="1">
      <c r="A50" s="143" t="s">
        <v>86</v>
      </c>
      <c r="B50" s="137">
        <v>10</v>
      </c>
      <c r="C50" s="137">
        <v>129.17</v>
      </c>
      <c r="D50" s="138">
        <v>0.0436799799809955</v>
      </c>
      <c r="E50" s="139">
        <v>87.7</v>
      </c>
      <c r="F50" s="138">
        <v>0.0156111181622033</v>
      </c>
      <c r="G50" s="138">
        <v>0.024031776707840957</v>
      </c>
      <c r="H50" s="140">
        <v>5</v>
      </c>
      <c r="I50" s="146">
        <v>50</v>
      </c>
    </row>
    <row r="51" spans="1:9" ht="21" customHeight="1">
      <c r="A51" s="143" t="s">
        <v>87</v>
      </c>
      <c r="B51" s="137">
        <v>10</v>
      </c>
      <c r="C51" s="137">
        <v>40.81</v>
      </c>
      <c r="D51" s="138">
        <v>0.0138002630875933</v>
      </c>
      <c r="E51" s="139">
        <v>82.1</v>
      </c>
      <c r="F51" s="138">
        <v>0.0227186191141008</v>
      </c>
      <c r="G51" s="138">
        <v>0.02004311230614855</v>
      </c>
      <c r="H51" s="140">
        <v>4</v>
      </c>
      <c r="I51" s="146">
        <v>40</v>
      </c>
    </row>
    <row r="52" spans="1:9" ht="21" customHeight="1">
      <c r="A52" s="143" t="s">
        <v>88</v>
      </c>
      <c r="B52" s="137">
        <v>10</v>
      </c>
      <c r="C52" s="137">
        <v>33.14</v>
      </c>
      <c r="D52" s="138">
        <v>0.0112065846293272</v>
      </c>
      <c r="E52" s="139">
        <v>85.9</v>
      </c>
      <c r="F52" s="138">
        <v>0.0178956720395989</v>
      </c>
      <c r="G52" s="138">
        <v>0.01588894581651739</v>
      </c>
      <c r="H52" s="140">
        <v>3</v>
      </c>
      <c r="I52" s="146">
        <v>30</v>
      </c>
    </row>
    <row r="53" spans="1:9" ht="21" customHeight="1">
      <c r="A53" s="143" t="s">
        <v>89</v>
      </c>
      <c r="B53" s="137">
        <v>10</v>
      </c>
      <c r="C53" s="137">
        <v>37.48</v>
      </c>
      <c r="D53" s="138">
        <v>0.0126741940828963</v>
      </c>
      <c r="E53" s="139">
        <v>85.8</v>
      </c>
      <c r="F53" s="138">
        <v>0.0180225916994542</v>
      </c>
      <c r="G53" s="138">
        <v>0.01641807241448683</v>
      </c>
      <c r="H53" s="140">
        <v>4</v>
      </c>
      <c r="I53" s="146">
        <v>40</v>
      </c>
    </row>
    <row r="54" spans="1:9" ht="21" customHeight="1">
      <c r="A54" s="143" t="s">
        <v>90</v>
      </c>
      <c r="B54" s="137">
        <v>10</v>
      </c>
      <c r="C54" s="137">
        <v>80.52</v>
      </c>
      <c r="D54" s="138">
        <v>0.0272285514288903</v>
      </c>
      <c r="E54" s="139">
        <v>86.7</v>
      </c>
      <c r="F54" s="138">
        <v>0.0168803147607564</v>
      </c>
      <c r="G54" s="138">
        <v>0.01998478576119657</v>
      </c>
      <c r="H54" s="140">
        <v>4</v>
      </c>
      <c r="I54" s="146">
        <v>40</v>
      </c>
    </row>
    <row r="55" spans="1:9" ht="21" customHeight="1">
      <c r="A55" s="143" t="s">
        <v>373</v>
      </c>
      <c r="B55" s="137">
        <v>10</v>
      </c>
      <c r="C55" s="137">
        <v>52.65</v>
      </c>
      <c r="D55" s="138">
        <v>0.0178040639931827</v>
      </c>
      <c r="E55" s="139">
        <v>81.4</v>
      </c>
      <c r="F55" s="138">
        <v>0.0236070567330879</v>
      </c>
      <c r="G55" s="138">
        <v>0.02186615891111634</v>
      </c>
      <c r="H55" s="140">
        <v>5</v>
      </c>
      <c r="I55" s="146">
        <v>50</v>
      </c>
    </row>
    <row r="56" spans="1:9" ht="21" customHeight="1">
      <c r="A56" s="143" t="s">
        <v>91</v>
      </c>
      <c r="B56" s="137">
        <v>10</v>
      </c>
      <c r="C56" s="137">
        <v>94.13</v>
      </c>
      <c r="D56" s="138">
        <v>0.0318308935171565</v>
      </c>
      <c r="E56" s="139">
        <v>90.9</v>
      </c>
      <c r="F56" s="138">
        <v>0.0115496890468333</v>
      </c>
      <c r="G56" s="138">
        <v>0.01763405038793026</v>
      </c>
      <c r="H56" s="140">
        <v>4</v>
      </c>
      <c r="I56" s="146">
        <v>40</v>
      </c>
    </row>
    <row r="57" spans="1:9" ht="21" customHeight="1">
      <c r="A57" s="143" t="s">
        <v>374</v>
      </c>
      <c r="B57" s="137">
        <v>10</v>
      </c>
      <c r="C57" s="137">
        <v>37.72</v>
      </c>
      <c r="D57" s="138">
        <v>0.0127553522093609</v>
      </c>
      <c r="E57" s="139">
        <v>93</v>
      </c>
      <c r="F57" s="138">
        <v>0.00888437618987181</v>
      </c>
      <c r="G57" s="138">
        <v>0.010045668995718536</v>
      </c>
      <c r="H57" s="140">
        <v>2</v>
      </c>
      <c r="I57" s="146">
        <v>20</v>
      </c>
    </row>
    <row r="58" spans="1:9" ht="21" customHeight="1">
      <c r="A58" s="143" t="s">
        <v>375</v>
      </c>
      <c r="B58" s="137">
        <v>10</v>
      </c>
      <c r="C58" s="137">
        <v>31.55</v>
      </c>
      <c r="D58" s="138">
        <v>0.0106689120414989</v>
      </c>
      <c r="E58" s="139">
        <v>79.7</v>
      </c>
      <c r="F58" s="138">
        <v>0.0257646909506282</v>
      </c>
      <c r="G58" s="138">
        <v>0.021235957277889413</v>
      </c>
      <c r="H58" s="140">
        <v>5</v>
      </c>
      <c r="I58" s="146">
        <v>50</v>
      </c>
    </row>
    <row r="59" spans="1:9" ht="21" customHeight="1">
      <c r="A59" s="136" t="s">
        <v>376</v>
      </c>
      <c r="B59" s="137">
        <v>10</v>
      </c>
      <c r="C59" s="137">
        <v>36.72</v>
      </c>
      <c r="D59" s="138">
        <v>0.0124171933490915</v>
      </c>
      <c r="E59" s="139">
        <v>84.1</v>
      </c>
      <c r="F59" s="138">
        <v>0.0201802259169945</v>
      </c>
      <c r="G59" s="138">
        <v>0.017851316146623598</v>
      </c>
      <c r="H59" s="140">
        <v>4</v>
      </c>
      <c r="I59" s="146">
        <v>40</v>
      </c>
    </row>
    <row r="60" spans="1:9" ht="21" customHeight="1">
      <c r="A60" s="136" t="s">
        <v>95</v>
      </c>
      <c r="B60" s="137">
        <v>10</v>
      </c>
      <c r="C60" s="137">
        <v>199.86</v>
      </c>
      <c r="D60" s="138">
        <v>0.0675844298134378</v>
      </c>
      <c r="E60" s="139">
        <v>90.2</v>
      </c>
      <c r="F60" s="138">
        <v>0.0124381266658205</v>
      </c>
      <c r="G60" s="138">
        <v>0.02898201761010569</v>
      </c>
      <c r="H60" s="140">
        <v>6</v>
      </c>
      <c r="I60" s="146">
        <v>60</v>
      </c>
    </row>
    <row r="61" spans="1:9" ht="21" customHeight="1">
      <c r="A61" s="136" t="s">
        <v>96</v>
      </c>
      <c r="B61" s="137">
        <v>10</v>
      </c>
      <c r="C61" s="137">
        <v>67.48</v>
      </c>
      <c r="D61" s="138">
        <v>0.0228189598909776</v>
      </c>
      <c r="E61" s="139">
        <v>79.6</v>
      </c>
      <c r="F61" s="138">
        <v>0.0258916106104836</v>
      </c>
      <c r="G61" s="138">
        <v>0.0249698153946318</v>
      </c>
      <c r="H61" s="140">
        <v>5</v>
      </c>
      <c r="I61" s="146">
        <v>50</v>
      </c>
    </row>
    <row r="62" spans="1:9" ht="21" customHeight="1">
      <c r="A62" s="136" t="s">
        <v>97</v>
      </c>
      <c r="B62" s="137">
        <v>10</v>
      </c>
      <c r="C62" s="137">
        <v>104.08</v>
      </c>
      <c r="D62" s="138">
        <v>0.0351955741768368</v>
      </c>
      <c r="E62" s="139">
        <v>74.2</v>
      </c>
      <c r="F62" s="138">
        <v>0.0327452722426704</v>
      </c>
      <c r="G62" s="138">
        <v>0.033480362822920315</v>
      </c>
      <c r="H62" s="140">
        <v>7</v>
      </c>
      <c r="I62" s="146">
        <v>70</v>
      </c>
    </row>
    <row r="63" spans="1:9" ht="21" customHeight="1">
      <c r="A63" s="136" t="s">
        <v>98</v>
      </c>
      <c r="B63" s="137">
        <v>10</v>
      </c>
      <c r="C63" s="137">
        <v>93.69</v>
      </c>
      <c r="D63" s="138">
        <v>0.031682103618638</v>
      </c>
      <c r="E63" s="139">
        <v>93</v>
      </c>
      <c r="F63" s="138">
        <v>0.00888437618987181</v>
      </c>
      <c r="G63" s="138">
        <v>0.015723694418501667</v>
      </c>
      <c r="H63" s="140">
        <v>3</v>
      </c>
      <c r="I63" s="146">
        <v>30</v>
      </c>
    </row>
    <row r="64" spans="1:9" ht="21" customHeight="1">
      <c r="A64" s="136" t="s">
        <v>99</v>
      </c>
      <c r="B64" s="137">
        <v>10</v>
      </c>
      <c r="C64" s="137">
        <v>43.08</v>
      </c>
      <c r="D64" s="138">
        <v>0.0145678837004048</v>
      </c>
      <c r="E64" s="139">
        <v>90.4</v>
      </c>
      <c r="F64" s="138">
        <v>0.0121842873461099</v>
      </c>
      <c r="G64" s="138">
        <v>0.012899366252398368</v>
      </c>
      <c r="H64" s="140">
        <v>3</v>
      </c>
      <c r="I64" s="146">
        <v>30</v>
      </c>
    </row>
    <row r="65" spans="1:9" ht="21" customHeight="1">
      <c r="A65" s="136" t="s">
        <v>377</v>
      </c>
      <c r="B65" s="137">
        <v>10</v>
      </c>
      <c r="C65" s="137">
        <v>37.17</v>
      </c>
      <c r="D65" s="138">
        <v>0.0125693648362128</v>
      </c>
      <c r="E65" s="139">
        <v>87.9</v>
      </c>
      <c r="F65" s="138">
        <v>0.0153572788424927</v>
      </c>
      <c r="G65" s="138">
        <v>0.014520904640608729</v>
      </c>
      <c r="H65" s="140">
        <v>3</v>
      </c>
      <c r="I65" s="146">
        <v>30</v>
      </c>
    </row>
    <row r="66" spans="1:9" ht="111.75" customHeight="1">
      <c r="A66" s="111" t="s">
        <v>378</v>
      </c>
      <c r="B66" s="111"/>
      <c r="C66" s="111"/>
      <c r="D66" s="111"/>
      <c r="E66" s="111"/>
      <c r="F66" s="111"/>
      <c r="G66" s="111"/>
      <c r="H66" s="111"/>
      <c r="I66" s="111"/>
    </row>
  </sheetData>
  <sheetProtection/>
  <mergeCells count="2">
    <mergeCell ref="A2:I2"/>
    <mergeCell ref="A66:I66"/>
  </mergeCells>
  <printOptions horizontalCentered="1"/>
  <pageMargins left="0.4722222222222222" right="0.4722222222222222" top="0.5902777777777778" bottom="0.7868055555555555" header="0.5118055555555555" footer="0.5118055555555555"/>
  <pageSetup fitToHeight="0" fitToWidth="1" horizontalDpi="600" verticalDpi="600" orientation="portrait" paperSize="9" scale="92"/>
</worksheet>
</file>

<file path=xl/worksheets/sheet9.xml><?xml version="1.0" encoding="utf-8"?>
<worksheet xmlns="http://schemas.openxmlformats.org/spreadsheetml/2006/main" xmlns:r="http://schemas.openxmlformats.org/officeDocument/2006/relationships">
  <sheetPr>
    <pageSetUpPr fitToPage="1"/>
  </sheetPr>
  <dimension ref="A1:C54"/>
  <sheetViews>
    <sheetView zoomScaleSheetLayoutView="100" workbookViewId="0" topLeftCell="A1">
      <selection activeCell="B9" sqref="B9"/>
    </sheetView>
  </sheetViews>
  <sheetFormatPr defaultColWidth="8.7109375" defaultRowHeight="15"/>
  <cols>
    <col min="1" max="1" width="18.421875" style="113" customWidth="1"/>
    <col min="2" max="2" width="51.421875" style="0" customWidth="1"/>
    <col min="3" max="3" width="15.7109375" style="0" customWidth="1"/>
    <col min="4" max="4" width="17.8515625" style="0" customWidth="1"/>
  </cols>
  <sheetData>
    <row r="1" ht="16.5" customHeight="1">
      <c r="A1" s="114" t="s">
        <v>379</v>
      </c>
    </row>
    <row r="2" spans="1:3" ht="25.5" customHeight="1">
      <c r="A2" s="115" t="s">
        <v>380</v>
      </c>
      <c r="B2" s="116"/>
      <c r="C2" s="115"/>
    </row>
    <row r="3" spans="1:3" ht="13.5">
      <c r="A3" s="117" t="s">
        <v>2</v>
      </c>
      <c r="B3" s="118"/>
      <c r="C3" s="117"/>
    </row>
    <row r="4" spans="1:3" ht="24" customHeight="1">
      <c r="A4" s="10" t="s">
        <v>3</v>
      </c>
      <c r="B4" s="10" t="s">
        <v>381</v>
      </c>
      <c r="C4" s="10" t="s">
        <v>382</v>
      </c>
    </row>
    <row r="5" spans="1:3" ht="24" customHeight="1">
      <c r="A5" s="10" t="s">
        <v>4</v>
      </c>
      <c r="B5" s="119"/>
      <c r="C5" s="120">
        <v>2000</v>
      </c>
    </row>
    <row r="6" spans="1:3" ht="24" customHeight="1">
      <c r="A6" s="10" t="s">
        <v>42</v>
      </c>
      <c r="B6" s="119"/>
      <c r="C6" s="120">
        <v>520</v>
      </c>
    </row>
    <row r="7" spans="1:3" ht="24" customHeight="1">
      <c r="A7" s="121" t="s">
        <v>48</v>
      </c>
      <c r="B7" s="122" t="s">
        <v>383</v>
      </c>
      <c r="C7" s="123">
        <v>40</v>
      </c>
    </row>
    <row r="8" spans="1:3" ht="24" customHeight="1">
      <c r="A8" s="121" t="s">
        <v>49</v>
      </c>
      <c r="B8" s="122" t="s">
        <v>384</v>
      </c>
      <c r="C8" s="123">
        <v>40</v>
      </c>
    </row>
    <row r="9" spans="1:3" ht="24" customHeight="1">
      <c r="A9" s="121" t="s">
        <v>50</v>
      </c>
      <c r="B9" s="122" t="s">
        <v>385</v>
      </c>
      <c r="C9" s="123">
        <v>40</v>
      </c>
    </row>
    <row r="10" spans="1:3" ht="24" customHeight="1">
      <c r="A10" s="121" t="s">
        <v>51</v>
      </c>
      <c r="B10" s="122" t="s">
        <v>386</v>
      </c>
      <c r="C10" s="123">
        <v>40</v>
      </c>
    </row>
    <row r="11" spans="1:3" ht="24" customHeight="1">
      <c r="A11" s="121" t="s">
        <v>55</v>
      </c>
      <c r="B11" s="122" t="s">
        <v>387</v>
      </c>
      <c r="C11" s="123">
        <v>40</v>
      </c>
    </row>
    <row r="12" spans="1:3" ht="24" customHeight="1">
      <c r="A12" s="121"/>
      <c r="B12" s="122" t="s">
        <v>388</v>
      </c>
      <c r="C12" s="123">
        <v>40</v>
      </c>
    </row>
    <row r="13" spans="1:3" ht="24" customHeight="1">
      <c r="A13" s="121"/>
      <c r="B13" s="122" t="s">
        <v>389</v>
      </c>
      <c r="C13" s="123">
        <v>40</v>
      </c>
    </row>
    <row r="14" spans="1:3" ht="24" customHeight="1">
      <c r="A14" s="121" t="s">
        <v>56</v>
      </c>
      <c r="B14" s="122" t="s">
        <v>390</v>
      </c>
      <c r="C14" s="123">
        <v>40</v>
      </c>
    </row>
    <row r="15" spans="1:3" ht="24" customHeight="1">
      <c r="A15" s="121" t="s">
        <v>57</v>
      </c>
      <c r="B15" s="122" t="s">
        <v>391</v>
      </c>
      <c r="C15" s="123">
        <v>40</v>
      </c>
    </row>
    <row r="16" spans="1:3" ht="24" customHeight="1">
      <c r="A16" s="121"/>
      <c r="B16" s="122" t="s">
        <v>392</v>
      </c>
      <c r="C16" s="123">
        <v>40</v>
      </c>
    </row>
    <row r="17" spans="1:3" ht="24" customHeight="1">
      <c r="A17" s="121" t="s">
        <v>58</v>
      </c>
      <c r="B17" s="122" t="s">
        <v>393</v>
      </c>
      <c r="C17" s="123">
        <v>40</v>
      </c>
    </row>
    <row r="18" spans="1:3" ht="24" customHeight="1">
      <c r="A18" s="121" t="s">
        <v>59</v>
      </c>
      <c r="B18" s="122" t="s">
        <v>394</v>
      </c>
      <c r="C18" s="123">
        <v>40</v>
      </c>
    </row>
    <row r="19" spans="1:3" ht="24" customHeight="1">
      <c r="A19" s="121" t="s">
        <v>63</v>
      </c>
      <c r="B19" s="122" t="s">
        <v>395</v>
      </c>
      <c r="C19" s="123">
        <v>40</v>
      </c>
    </row>
    <row r="20" spans="1:3" ht="24" customHeight="1">
      <c r="A20" s="124" t="s">
        <v>64</v>
      </c>
      <c r="B20" s="125"/>
      <c r="C20" s="120">
        <v>1480</v>
      </c>
    </row>
    <row r="21" spans="1:3" ht="24" customHeight="1">
      <c r="A21" s="126" t="s">
        <v>66</v>
      </c>
      <c r="B21" s="127" t="s">
        <v>396</v>
      </c>
      <c r="C21" s="123">
        <v>60</v>
      </c>
    </row>
    <row r="22" spans="1:3" ht="24" customHeight="1">
      <c r="A22" s="126" t="s">
        <v>68</v>
      </c>
      <c r="B22" s="127" t="s">
        <v>397</v>
      </c>
      <c r="C22" s="123">
        <v>40</v>
      </c>
    </row>
    <row r="23" spans="1:3" ht="24" customHeight="1">
      <c r="A23" s="126" t="s">
        <v>70</v>
      </c>
      <c r="B23" s="127" t="s">
        <v>398</v>
      </c>
      <c r="C23" s="123">
        <v>40</v>
      </c>
    </row>
    <row r="24" spans="1:3" ht="24" customHeight="1">
      <c r="A24" s="126" t="s">
        <v>71</v>
      </c>
      <c r="B24" s="127" t="s">
        <v>399</v>
      </c>
      <c r="C24" s="123">
        <v>60</v>
      </c>
    </row>
    <row r="25" spans="1:3" ht="24" customHeight="1">
      <c r="A25" s="128" t="s">
        <v>73</v>
      </c>
      <c r="B25" s="127" t="s">
        <v>400</v>
      </c>
      <c r="C25" s="123">
        <v>40</v>
      </c>
    </row>
    <row r="26" spans="1:3" ht="24" customHeight="1">
      <c r="A26" s="128" t="s">
        <v>75</v>
      </c>
      <c r="B26" s="127" t="s">
        <v>401</v>
      </c>
      <c r="C26" s="123">
        <v>60</v>
      </c>
    </row>
    <row r="27" spans="1:3" ht="24" customHeight="1">
      <c r="A27" s="128" t="s">
        <v>76</v>
      </c>
      <c r="B27" s="122" t="s">
        <v>402</v>
      </c>
      <c r="C27" s="123">
        <v>40</v>
      </c>
    </row>
    <row r="28" spans="1:3" ht="24" customHeight="1">
      <c r="A28" s="128"/>
      <c r="B28" s="122" t="s">
        <v>403</v>
      </c>
      <c r="C28" s="123">
        <v>40</v>
      </c>
    </row>
    <row r="29" spans="1:3" ht="24" customHeight="1">
      <c r="A29" s="128" t="s">
        <v>77</v>
      </c>
      <c r="B29" s="127" t="s">
        <v>404</v>
      </c>
      <c r="C29" s="123">
        <v>40</v>
      </c>
    </row>
    <row r="30" spans="1:3" ht="24" customHeight="1">
      <c r="A30" s="128" t="s">
        <v>78</v>
      </c>
      <c r="B30" s="122" t="s">
        <v>405</v>
      </c>
      <c r="C30" s="123">
        <v>40</v>
      </c>
    </row>
    <row r="31" spans="1:3" ht="24" customHeight="1">
      <c r="A31" s="128"/>
      <c r="B31" s="122" t="s">
        <v>406</v>
      </c>
      <c r="C31" s="123">
        <v>40</v>
      </c>
    </row>
    <row r="32" spans="1:3" ht="24" customHeight="1">
      <c r="A32" s="128" t="s">
        <v>79</v>
      </c>
      <c r="B32" s="127" t="s">
        <v>407</v>
      </c>
      <c r="C32" s="123">
        <v>60</v>
      </c>
    </row>
    <row r="33" spans="1:3" ht="24" customHeight="1">
      <c r="A33" s="128" t="s">
        <v>81</v>
      </c>
      <c r="B33" s="127" t="s">
        <v>408</v>
      </c>
      <c r="C33" s="123">
        <v>60</v>
      </c>
    </row>
    <row r="34" spans="1:3" ht="24" customHeight="1">
      <c r="A34" s="128" t="s">
        <v>82</v>
      </c>
      <c r="B34" s="122" t="s">
        <v>409</v>
      </c>
      <c r="C34" s="123">
        <v>40</v>
      </c>
    </row>
    <row r="35" spans="1:3" ht="24" customHeight="1">
      <c r="A35" s="128"/>
      <c r="B35" s="122" t="s">
        <v>410</v>
      </c>
      <c r="C35" s="123">
        <v>40</v>
      </c>
    </row>
    <row r="36" spans="1:3" ht="24" customHeight="1">
      <c r="A36" s="128" t="s">
        <v>83</v>
      </c>
      <c r="B36" s="122" t="s">
        <v>411</v>
      </c>
      <c r="C36" s="123">
        <v>60</v>
      </c>
    </row>
    <row r="37" spans="1:3" ht="24" customHeight="1">
      <c r="A37" s="128"/>
      <c r="B37" s="122" t="s">
        <v>412</v>
      </c>
      <c r="C37" s="123">
        <v>60</v>
      </c>
    </row>
    <row r="38" spans="1:3" ht="24" customHeight="1">
      <c r="A38" s="128" t="s">
        <v>84</v>
      </c>
      <c r="B38" s="127" t="s">
        <v>413</v>
      </c>
      <c r="C38" s="123">
        <v>40</v>
      </c>
    </row>
    <row r="39" spans="1:3" ht="24" customHeight="1">
      <c r="A39" s="128" t="s">
        <v>85</v>
      </c>
      <c r="B39" s="122" t="s">
        <v>414</v>
      </c>
      <c r="C39" s="123">
        <v>40</v>
      </c>
    </row>
    <row r="40" spans="1:3" ht="24" customHeight="1">
      <c r="A40" s="128" t="s">
        <v>86</v>
      </c>
      <c r="B40" s="122" t="s">
        <v>415</v>
      </c>
      <c r="C40" s="123">
        <v>20</v>
      </c>
    </row>
    <row r="41" spans="1:3" ht="24" customHeight="1">
      <c r="A41" s="128"/>
      <c r="B41" s="122" t="s">
        <v>416</v>
      </c>
      <c r="C41" s="123">
        <v>20</v>
      </c>
    </row>
    <row r="42" spans="1:3" ht="24" customHeight="1">
      <c r="A42" s="128" t="s">
        <v>87</v>
      </c>
      <c r="B42" s="127" t="s">
        <v>417</v>
      </c>
      <c r="C42" s="123">
        <v>40</v>
      </c>
    </row>
    <row r="43" spans="1:3" ht="24" customHeight="1">
      <c r="A43" s="128" t="s">
        <v>89</v>
      </c>
      <c r="B43" s="127" t="s">
        <v>418</v>
      </c>
      <c r="C43" s="123">
        <v>60</v>
      </c>
    </row>
    <row r="44" spans="1:3" ht="24" customHeight="1">
      <c r="A44" s="128" t="s">
        <v>90</v>
      </c>
      <c r="B44" s="127" t="s">
        <v>419</v>
      </c>
      <c r="C44" s="123">
        <v>40</v>
      </c>
    </row>
    <row r="45" spans="1:3" ht="24" customHeight="1">
      <c r="A45" s="128" t="s">
        <v>91</v>
      </c>
      <c r="B45" s="127" t="s">
        <v>420</v>
      </c>
      <c r="C45" s="123">
        <v>40</v>
      </c>
    </row>
    <row r="46" spans="1:3" ht="24" customHeight="1">
      <c r="A46" s="128" t="s">
        <v>94</v>
      </c>
      <c r="B46" s="127" t="s">
        <v>421</v>
      </c>
      <c r="C46" s="123">
        <v>40</v>
      </c>
    </row>
    <row r="47" spans="1:3" ht="24" customHeight="1">
      <c r="A47" s="128" t="s">
        <v>95</v>
      </c>
      <c r="B47" s="122" t="s">
        <v>422</v>
      </c>
      <c r="C47" s="123">
        <v>40</v>
      </c>
    </row>
    <row r="48" spans="1:3" ht="24" customHeight="1">
      <c r="A48" s="128"/>
      <c r="B48" s="122" t="s">
        <v>423</v>
      </c>
      <c r="C48" s="123">
        <v>40</v>
      </c>
    </row>
    <row r="49" spans="1:3" ht="24" customHeight="1">
      <c r="A49" s="128" t="s">
        <v>96</v>
      </c>
      <c r="B49" s="127" t="s">
        <v>424</v>
      </c>
      <c r="C49" s="123">
        <v>40</v>
      </c>
    </row>
    <row r="50" spans="1:3" ht="24" customHeight="1">
      <c r="A50" s="128" t="s">
        <v>97</v>
      </c>
      <c r="B50" s="122" t="s">
        <v>425</v>
      </c>
      <c r="C50" s="123">
        <v>60</v>
      </c>
    </row>
    <row r="51" spans="1:3" ht="24" customHeight="1">
      <c r="A51" s="128"/>
      <c r="B51" s="122" t="s">
        <v>426</v>
      </c>
      <c r="C51" s="123">
        <v>40</v>
      </c>
    </row>
    <row r="52" spans="1:3" ht="24" customHeight="1">
      <c r="A52" s="128" t="s">
        <v>98</v>
      </c>
      <c r="B52" s="127" t="s">
        <v>427</v>
      </c>
      <c r="C52" s="123">
        <v>40</v>
      </c>
    </row>
    <row r="53" spans="1:3" ht="24" customHeight="1">
      <c r="A53" s="128" t="s">
        <v>99</v>
      </c>
      <c r="B53" s="127" t="s">
        <v>428</v>
      </c>
      <c r="C53" s="123">
        <v>60</v>
      </c>
    </row>
    <row r="54" spans="1:3" ht="24" customHeight="1">
      <c r="A54" s="128" t="s">
        <v>99</v>
      </c>
      <c r="B54" s="127" t="s">
        <v>428</v>
      </c>
      <c r="C54" s="123">
        <v>40</v>
      </c>
    </row>
  </sheetData>
  <sheetProtection/>
  <mergeCells count="11">
    <mergeCell ref="A2:C2"/>
    <mergeCell ref="A3:C3"/>
    <mergeCell ref="A11:A13"/>
    <mergeCell ref="A15:A16"/>
    <mergeCell ref="A27:A28"/>
    <mergeCell ref="A30:A31"/>
    <mergeCell ref="A34:A35"/>
    <mergeCell ref="A36:A37"/>
    <mergeCell ref="A40:A41"/>
    <mergeCell ref="A47:A48"/>
    <mergeCell ref="A50:A51"/>
  </mergeCells>
  <printOptions horizontalCentered="1"/>
  <pageMargins left="0.4722222222222222" right="0.4722222222222222" top="0.5902777777777778" bottom="0.7868055555555555" header="0.5118055555555555" footer="0.5118055555555555"/>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钟丹丹</cp:lastModifiedBy>
  <cp:lastPrinted>2022-10-31T11:35:23Z</cp:lastPrinted>
  <dcterms:created xsi:type="dcterms:W3CDTF">2021-06-08T00:31:00Z</dcterms:created>
  <dcterms:modified xsi:type="dcterms:W3CDTF">2022-12-15T04:03:37Z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1050C7D838A64831B9ABC224596977D7</vt:lpwstr>
  </property>
  <property fmtid="{D5CDD505-2E9C-101B-9397-08002B2CF9AE}" pid="5" name="KSOReadingLayo">
    <vt:bool>true</vt:bool>
  </property>
</Properties>
</file>