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500" windowHeight="11955" tabRatio="759" activeTab="2"/>
  </bookViews>
  <sheets>
    <sheet name="总表 " sheetId="25" r:id="rId1"/>
    <sheet name="总表（分项目）" sheetId="27" r:id="rId2"/>
    <sheet name="市县" sheetId="26" r:id="rId3"/>
    <sheet name="不要-附件15市县（非珠）" sheetId="17" state="hidden" r:id="rId4"/>
    <sheet name="材料" sheetId="18" state="hidden" r:id="rId5"/>
    <sheet name="Sheet3" sheetId="19" state="hidden" r:id="rId6"/>
  </sheets>
  <definedNames>
    <definedName name="_xlnm.Print_Area" localSheetId="0">'总表 '!$A$1:$B$62</definedName>
    <definedName name="_xlnm.Print_Titles" localSheetId="0">'总表 '!$4:$4</definedName>
    <definedName name="_xlnm.Print_Titles" localSheetId="1">'总表（分项目）'!$4:$4</definedName>
    <definedName name="_xlnm.Print_Titles" localSheetId="2">市县!$A:$A</definedName>
  </definedNames>
  <calcPr calcId="144525" concurrentCalc="0"/>
</workbook>
</file>

<file path=xl/comments1.xml><?xml version="1.0" encoding="utf-8"?>
<comments xmlns="http://schemas.openxmlformats.org/spreadsheetml/2006/main">
  <authors>
    <author>王剑莉</author>
  </authors>
  <commentList>
    <comment ref="L10" authorId="0">
      <text>
        <r>
          <rPr>
            <sz val="9"/>
            <rFont val="宋体"/>
            <charset val="134"/>
          </rPr>
          <t>王剑莉:
加了禽流感采样数280与16份哨点及网络送样数与300份禽流感采样数。</t>
        </r>
      </text>
    </comment>
    <comment ref="L13" authorId="0">
      <text>
        <r>
          <rPr>
            <sz val="9"/>
            <rFont val="宋体"/>
            <charset val="134"/>
          </rPr>
          <t>王剑莉:
加了280份禽流感采样数。</t>
        </r>
      </text>
    </comment>
    <comment ref="D24" authorId="0">
      <text>
        <r>
          <rPr>
            <sz val="9"/>
            <rFont val="宋体"/>
            <charset val="134"/>
          </rPr>
          <t>王剑莉:
加了实验室数；加了20例病人。</t>
        </r>
      </text>
    </comment>
    <comment ref="F54" authorId="0">
      <text>
        <r>
          <rPr>
            <sz val="9"/>
            <rFont val="宋体"/>
            <charset val="134"/>
          </rPr>
          <t>王剑莉:
减少400例，因总额增加太多。</t>
        </r>
      </text>
    </comment>
    <comment ref="N57" authorId="0">
      <text>
        <r>
          <rPr>
            <sz val="9"/>
            <rFont val="宋体"/>
            <charset val="134"/>
          </rPr>
          <t>王剑莉:
减3000.</t>
        </r>
      </text>
    </comment>
  </commentList>
</comments>
</file>

<file path=xl/sharedStrings.xml><?xml version="1.0" encoding="utf-8"?>
<sst xmlns="http://schemas.openxmlformats.org/spreadsheetml/2006/main" count="402">
  <si>
    <t>附件4</t>
  </si>
  <si>
    <r>
      <rPr>
        <b/>
        <sz val="16"/>
        <color theme="1"/>
        <rFont val="Times New Roman"/>
        <charset val="134"/>
      </rPr>
      <t>2022</t>
    </r>
    <r>
      <rPr>
        <b/>
        <sz val="16"/>
        <color theme="1"/>
        <rFont val="宋体"/>
        <charset val="134"/>
      </rPr>
      <t>年省级疫病防控项目资金分配表</t>
    </r>
  </si>
  <si>
    <t>金额单位：万元</t>
  </si>
  <si>
    <r>
      <rPr>
        <b/>
        <sz val="12"/>
        <color theme="1"/>
        <rFont val="宋体"/>
        <charset val="134"/>
      </rPr>
      <t>项目单位</t>
    </r>
  </si>
  <si>
    <r>
      <rPr>
        <b/>
        <sz val="12"/>
        <color theme="1"/>
        <rFont val="宋体"/>
        <charset val="134"/>
      </rPr>
      <t>补助金额</t>
    </r>
  </si>
  <si>
    <r>
      <rPr>
        <b/>
        <sz val="11"/>
        <color theme="1"/>
        <rFont val="宋体"/>
        <charset val="134"/>
      </rPr>
      <t>合计</t>
    </r>
  </si>
  <si>
    <t>一、各地市</t>
  </si>
  <si>
    <r>
      <rPr>
        <sz val="11"/>
        <rFont val="宋体"/>
        <charset val="134"/>
      </rPr>
      <t>广州市</t>
    </r>
  </si>
  <si>
    <r>
      <rPr>
        <sz val="11"/>
        <rFont val="宋体"/>
        <charset val="134"/>
      </rPr>
      <t>珠海市</t>
    </r>
  </si>
  <si>
    <r>
      <rPr>
        <sz val="11"/>
        <rFont val="宋体"/>
        <charset val="134"/>
      </rPr>
      <t>汕头市</t>
    </r>
  </si>
  <si>
    <r>
      <rPr>
        <sz val="11"/>
        <rFont val="宋体"/>
        <charset val="134"/>
      </rPr>
      <t>佛山市</t>
    </r>
  </si>
  <si>
    <r>
      <rPr>
        <sz val="11"/>
        <rFont val="宋体"/>
        <charset val="134"/>
      </rPr>
      <t>韶关市</t>
    </r>
  </si>
  <si>
    <r>
      <rPr>
        <sz val="11"/>
        <rFont val="宋体"/>
        <charset val="134"/>
      </rPr>
      <t>河源市</t>
    </r>
  </si>
  <si>
    <r>
      <rPr>
        <sz val="11"/>
        <rFont val="宋体"/>
        <charset val="134"/>
      </rPr>
      <t>梅州市</t>
    </r>
  </si>
  <si>
    <r>
      <rPr>
        <sz val="11"/>
        <rFont val="宋体"/>
        <charset val="134"/>
      </rPr>
      <t>惠州市</t>
    </r>
  </si>
  <si>
    <r>
      <rPr>
        <sz val="11"/>
        <rFont val="宋体"/>
        <charset val="134"/>
      </rPr>
      <t>汕尾市</t>
    </r>
  </si>
  <si>
    <r>
      <rPr>
        <sz val="11"/>
        <rFont val="宋体"/>
        <charset val="134"/>
      </rPr>
      <t>东莞市</t>
    </r>
  </si>
  <si>
    <r>
      <rPr>
        <sz val="11"/>
        <rFont val="宋体"/>
        <charset val="134"/>
      </rPr>
      <t>中山市</t>
    </r>
  </si>
  <si>
    <r>
      <rPr>
        <sz val="11"/>
        <rFont val="宋体"/>
        <charset val="134"/>
      </rPr>
      <t>江门市</t>
    </r>
  </si>
  <si>
    <r>
      <rPr>
        <sz val="11"/>
        <rFont val="宋体"/>
        <charset val="134"/>
      </rPr>
      <t>阳江市</t>
    </r>
  </si>
  <si>
    <r>
      <rPr>
        <sz val="11"/>
        <rFont val="宋体"/>
        <charset val="134"/>
      </rPr>
      <t>湛江市</t>
    </r>
  </si>
  <si>
    <r>
      <rPr>
        <sz val="11"/>
        <rFont val="宋体"/>
        <charset val="134"/>
      </rPr>
      <t>茂名市</t>
    </r>
  </si>
  <si>
    <r>
      <rPr>
        <sz val="11"/>
        <rFont val="宋体"/>
        <charset val="134"/>
      </rPr>
      <t>肇庆市</t>
    </r>
  </si>
  <si>
    <r>
      <rPr>
        <sz val="11"/>
        <rFont val="宋体"/>
        <charset val="134"/>
      </rPr>
      <t>清远市</t>
    </r>
  </si>
  <si>
    <r>
      <rPr>
        <sz val="11"/>
        <rFont val="宋体"/>
        <charset val="134"/>
      </rPr>
      <t>潮州市</t>
    </r>
  </si>
  <si>
    <r>
      <rPr>
        <sz val="11"/>
        <rFont val="宋体"/>
        <charset val="134"/>
      </rPr>
      <t>揭阳市</t>
    </r>
  </si>
  <si>
    <r>
      <rPr>
        <sz val="11"/>
        <rFont val="宋体"/>
        <charset val="134"/>
      </rPr>
      <t>云浮市</t>
    </r>
  </si>
  <si>
    <t>二、财政省直管县</t>
  </si>
  <si>
    <r>
      <rPr>
        <sz val="11"/>
        <rFont val="宋体"/>
        <charset val="134"/>
      </rPr>
      <t>南澳县</t>
    </r>
  </si>
  <si>
    <r>
      <rPr>
        <sz val="11"/>
        <rFont val="宋体"/>
        <charset val="134"/>
      </rPr>
      <t>南雄市</t>
    </r>
  </si>
  <si>
    <r>
      <rPr>
        <sz val="11"/>
        <rFont val="宋体"/>
        <charset val="134"/>
      </rPr>
      <t>仁化县</t>
    </r>
  </si>
  <si>
    <r>
      <rPr>
        <sz val="11"/>
        <rFont val="宋体"/>
        <charset val="134"/>
      </rPr>
      <t>乳源县</t>
    </r>
  </si>
  <si>
    <r>
      <rPr>
        <sz val="11"/>
        <rFont val="宋体"/>
        <charset val="134"/>
      </rPr>
      <t>翁源县</t>
    </r>
  </si>
  <si>
    <r>
      <rPr>
        <sz val="11"/>
        <rFont val="宋体"/>
        <charset val="134"/>
      </rPr>
      <t>紫金县</t>
    </r>
  </si>
  <si>
    <r>
      <rPr>
        <sz val="11"/>
        <rFont val="宋体"/>
        <charset val="134"/>
      </rPr>
      <t>龙川县</t>
    </r>
  </si>
  <si>
    <r>
      <rPr>
        <sz val="11"/>
        <rFont val="宋体"/>
        <charset val="134"/>
      </rPr>
      <t>连平县</t>
    </r>
  </si>
  <si>
    <r>
      <rPr>
        <sz val="11"/>
        <rFont val="宋体"/>
        <charset val="134"/>
      </rPr>
      <t>兴宁市</t>
    </r>
  </si>
  <si>
    <r>
      <rPr>
        <sz val="11"/>
        <rFont val="宋体"/>
        <charset val="134"/>
      </rPr>
      <t>五华县</t>
    </r>
  </si>
  <si>
    <r>
      <rPr>
        <sz val="11"/>
        <rFont val="宋体"/>
        <charset val="134"/>
      </rPr>
      <t>丰顺县</t>
    </r>
  </si>
  <si>
    <r>
      <rPr>
        <sz val="11"/>
        <rFont val="宋体"/>
        <charset val="134"/>
      </rPr>
      <t>大埔县</t>
    </r>
  </si>
  <si>
    <r>
      <rPr>
        <sz val="11"/>
        <rFont val="宋体"/>
        <charset val="134"/>
      </rPr>
      <t>博罗县</t>
    </r>
  </si>
  <si>
    <r>
      <rPr>
        <sz val="11"/>
        <rFont val="宋体"/>
        <charset val="134"/>
      </rPr>
      <t>陆河县</t>
    </r>
  </si>
  <si>
    <r>
      <rPr>
        <sz val="11"/>
        <rFont val="宋体"/>
        <charset val="134"/>
      </rPr>
      <t>陆丰市</t>
    </r>
  </si>
  <si>
    <r>
      <rPr>
        <sz val="11"/>
        <rFont val="宋体"/>
        <charset val="134"/>
      </rPr>
      <t>海丰县</t>
    </r>
  </si>
  <si>
    <r>
      <rPr>
        <sz val="11"/>
        <rFont val="宋体"/>
        <charset val="134"/>
      </rPr>
      <t>阳春市</t>
    </r>
  </si>
  <si>
    <r>
      <rPr>
        <sz val="11"/>
        <rFont val="宋体"/>
        <charset val="134"/>
      </rPr>
      <t>徐闻县</t>
    </r>
  </si>
  <si>
    <r>
      <rPr>
        <sz val="11"/>
        <rFont val="宋体"/>
        <charset val="134"/>
      </rPr>
      <t>廉江市</t>
    </r>
  </si>
  <si>
    <r>
      <rPr>
        <sz val="11"/>
        <rFont val="宋体"/>
        <charset val="134"/>
      </rPr>
      <t>雷州市</t>
    </r>
  </si>
  <si>
    <r>
      <rPr>
        <sz val="11"/>
        <rFont val="宋体"/>
        <charset val="134"/>
      </rPr>
      <t>高州市</t>
    </r>
  </si>
  <si>
    <r>
      <rPr>
        <sz val="11"/>
        <rFont val="宋体"/>
        <charset val="134"/>
      </rPr>
      <t>化州市</t>
    </r>
  </si>
  <si>
    <r>
      <rPr>
        <sz val="11"/>
        <rFont val="宋体"/>
        <charset val="134"/>
      </rPr>
      <t>封开县</t>
    </r>
  </si>
  <si>
    <r>
      <rPr>
        <sz val="11"/>
        <rFont val="宋体"/>
        <charset val="134"/>
      </rPr>
      <t>怀集县</t>
    </r>
  </si>
  <si>
    <r>
      <rPr>
        <sz val="11"/>
        <rFont val="宋体"/>
        <charset val="134"/>
      </rPr>
      <t>德庆县</t>
    </r>
  </si>
  <si>
    <r>
      <rPr>
        <sz val="11"/>
        <rFont val="宋体"/>
        <charset val="134"/>
      </rPr>
      <t>广宁县</t>
    </r>
  </si>
  <si>
    <r>
      <rPr>
        <sz val="11"/>
        <rFont val="宋体"/>
        <charset val="134"/>
      </rPr>
      <t>英德市</t>
    </r>
  </si>
  <si>
    <r>
      <rPr>
        <sz val="11"/>
        <rFont val="宋体"/>
        <charset val="134"/>
      </rPr>
      <t>连山县</t>
    </r>
  </si>
  <si>
    <r>
      <rPr>
        <sz val="11"/>
        <rFont val="宋体"/>
        <charset val="134"/>
      </rPr>
      <t>连南县</t>
    </r>
  </si>
  <si>
    <r>
      <rPr>
        <sz val="11"/>
        <rFont val="宋体"/>
        <charset val="134"/>
      </rPr>
      <t>饶平县</t>
    </r>
  </si>
  <si>
    <r>
      <rPr>
        <sz val="11"/>
        <rFont val="宋体"/>
        <charset val="134"/>
      </rPr>
      <t>普宁市</t>
    </r>
  </si>
  <si>
    <r>
      <rPr>
        <sz val="11"/>
        <rFont val="宋体"/>
        <charset val="134"/>
      </rPr>
      <t>揭西县</t>
    </r>
  </si>
  <si>
    <r>
      <rPr>
        <sz val="11"/>
        <rFont val="宋体"/>
        <charset val="134"/>
      </rPr>
      <t>惠来县</t>
    </r>
  </si>
  <si>
    <r>
      <rPr>
        <sz val="11"/>
        <rFont val="宋体"/>
        <charset val="134"/>
      </rPr>
      <t>罗定市</t>
    </r>
  </si>
  <si>
    <r>
      <rPr>
        <sz val="11"/>
        <rFont val="宋体"/>
        <charset val="134"/>
      </rPr>
      <t>新兴县</t>
    </r>
  </si>
  <si>
    <t>附件4-1</t>
  </si>
  <si>
    <r>
      <rPr>
        <b/>
        <sz val="18"/>
        <rFont val="Times New Roman"/>
        <charset val="134"/>
      </rPr>
      <t>2022</t>
    </r>
    <r>
      <rPr>
        <b/>
        <sz val="18"/>
        <rFont val="宋体"/>
        <charset val="134"/>
      </rPr>
      <t>年省级疫病防控项目分项目资金分配表</t>
    </r>
  </si>
  <si>
    <t>项目单位</t>
  </si>
  <si>
    <t>补助金额</t>
  </si>
  <si>
    <r>
      <rPr>
        <b/>
        <sz val="10"/>
        <rFont val="宋体"/>
        <charset val="134"/>
      </rPr>
      <t>扩大国家免疫规划项目</t>
    </r>
    <r>
      <rPr>
        <b/>
        <sz val="10"/>
        <rFont val="Times New Roman"/>
        <charset val="134"/>
      </rPr>
      <t xml:space="preserve">  </t>
    </r>
  </si>
  <si>
    <r>
      <rPr>
        <b/>
        <sz val="10"/>
        <rFont val="宋体"/>
        <charset val="134"/>
      </rPr>
      <t>艾滋病防治项目</t>
    </r>
    <r>
      <rPr>
        <b/>
        <sz val="10"/>
        <rFont val="Times New Roman"/>
        <charset val="134"/>
      </rPr>
      <t xml:space="preserve">   </t>
    </r>
  </si>
  <si>
    <r>
      <rPr>
        <b/>
        <sz val="10"/>
        <rFont val="宋体"/>
        <charset val="134"/>
      </rPr>
      <t>结核病防治项目</t>
    </r>
    <r>
      <rPr>
        <b/>
        <sz val="10"/>
        <rFont val="Times New Roman"/>
        <charset val="134"/>
      </rPr>
      <t xml:space="preserve"> </t>
    </r>
  </si>
  <si>
    <r>
      <rPr>
        <b/>
        <sz val="10"/>
        <rFont val="宋体"/>
        <charset val="134"/>
      </rPr>
      <t>急性重点传染病防治项目</t>
    </r>
    <r>
      <rPr>
        <b/>
        <sz val="10"/>
        <rFont val="Times New Roman"/>
        <charset val="134"/>
      </rPr>
      <t xml:space="preserve">              </t>
    </r>
  </si>
  <si>
    <r>
      <rPr>
        <b/>
        <sz val="10"/>
        <rFont val="宋体"/>
        <charset val="134"/>
      </rPr>
      <t>地方病与寄生虫病防治项目</t>
    </r>
    <r>
      <rPr>
        <b/>
        <sz val="10"/>
        <rFont val="Times New Roman"/>
        <charset val="134"/>
      </rPr>
      <t xml:space="preserve">             </t>
    </r>
  </si>
  <si>
    <r>
      <rPr>
        <b/>
        <sz val="10"/>
        <rFont val="宋体"/>
        <charset val="134"/>
      </rPr>
      <t>性病防治项目</t>
    </r>
    <r>
      <rPr>
        <b/>
        <sz val="10"/>
        <rFont val="Times New Roman"/>
        <charset val="134"/>
      </rPr>
      <t xml:space="preserve">   </t>
    </r>
  </si>
  <si>
    <r>
      <rPr>
        <b/>
        <sz val="10"/>
        <rFont val="宋体"/>
        <charset val="134"/>
      </rPr>
      <t>麻风病防治项目</t>
    </r>
    <r>
      <rPr>
        <b/>
        <sz val="10"/>
        <rFont val="Times New Roman"/>
        <charset val="134"/>
      </rPr>
      <t xml:space="preserve">  </t>
    </r>
  </si>
  <si>
    <r>
      <rPr>
        <b/>
        <sz val="10"/>
        <rFont val="宋体"/>
        <charset val="134"/>
      </rPr>
      <t>精神卫生项目</t>
    </r>
    <r>
      <rPr>
        <b/>
        <sz val="10"/>
        <rFont val="Times New Roman"/>
        <charset val="134"/>
      </rPr>
      <t xml:space="preserve">    </t>
    </r>
  </si>
  <si>
    <t>慢性病防治项目</t>
  </si>
  <si>
    <r>
      <rPr>
        <b/>
        <sz val="10"/>
        <rFont val="宋体"/>
        <charset val="134"/>
      </rPr>
      <t>饮用水监测与学校卫生项目</t>
    </r>
    <r>
      <rPr>
        <b/>
        <sz val="10"/>
        <rFont val="Times New Roman"/>
        <charset val="134"/>
      </rPr>
      <t xml:space="preserve">            </t>
    </r>
  </si>
  <si>
    <r>
      <rPr>
        <b/>
        <sz val="10"/>
        <rFont val="宋体"/>
        <charset val="134"/>
      </rPr>
      <t>公共卫生骨干人才培训项目</t>
    </r>
    <r>
      <rPr>
        <b/>
        <sz val="10"/>
        <rFont val="Times New Roman"/>
        <charset val="134"/>
      </rPr>
      <t xml:space="preserve">            </t>
    </r>
  </si>
  <si>
    <t>公共卫生综合服务项目和重大公卫项目预算绩效管理</t>
  </si>
  <si>
    <t>职业病防治项目</t>
  </si>
  <si>
    <t>应急处置</t>
  </si>
  <si>
    <t>人群慢性乙肝现患筛查、治疗和随访管理项目</t>
  </si>
  <si>
    <t>合计</t>
  </si>
  <si>
    <t>广州市</t>
  </si>
  <si>
    <t>珠海市</t>
  </si>
  <si>
    <t>汕头市</t>
  </si>
  <si>
    <t>佛山市</t>
  </si>
  <si>
    <t>韶关市</t>
  </si>
  <si>
    <t>河源市</t>
  </si>
  <si>
    <t>梅州市</t>
  </si>
  <si>
    <t>惠州市</t>
  </si>
  <si>
    <t>汕尾市</t>
  </si>
  <si>
    <t>东莞市</t>
  </si>
  <si>
    <t>中山市</t>
  </si>
  <si>
    <t>江门市</t>
  </si>
  <si>
    <t>阳江市</t>
  </si>
  <si>
    <t>湛江市</t>
  </si>
  <si>
    <t>茂名市</t>
  </si>
  <si>
    <t>肇庆市</t>
  </si>
  <si>
    <t>清远市</t>
  </si>
  <si>
    <t>潮州市</t>
  </si>
  <si>
    <t>揭阳市</t>
  </si>
  <si>
    <t>云浮市</t>
  </si>
  <si>
    <t>南澳县</t>
  </si>
  <si>
    <t>南雄市</t>
  </si>
  <si>
    <t>仁化县</t>
  </si>
  <si>
    <t>乳源县</t>
  </si>
  <si>
    <t>翁源县</t>
  </si>
  <si>
    <t>紫金县</t>
  </si>
  <si>
    <t>龙川县</t>
  </si>
  <si>
    <t>连平县</t>
  </si>
  <si>
    <t>兴宁市</t>
  </si>
  <si>
    <t>五华县</t>
  </si>
  <si>
    <t>丰顺县</t>
  </si>
  <si>
    <t>大埔县</t>
  </si>
  <si>
    <t>博罗县</t>
  </si>
  <si>
    <t>陆河县</t>
  </si>
  <si>
    <t>陆丰市</t>
  </si>
  <si>
    <t>海丰县</t>
  </si>
  <si>
    <t>阳春市</t>
  </si>
  <si>
    <t>徐闻县</t>
  </si>
  <si>
    <t>廉江市</t>
  </si>
  <si>
    <t>雷州市</t>
  </si>
  <si>
    <t>高州市</t>
  </si>
  <si>
    <t>化州市</t>
  </si>
  <si>
    <t>封开县</t>
  </si>
  <si>
    <t>怀集县</t>
  </si>
  <si>
    <t>德庆县</t>
  </si>
  <si>
    <t>广宁县</t>
  </si>
  <si>
    <t>英德市</t>
  </si>
  <si>
    <t>连山县</t>
  </si>
  <si>
    <t>连南县</t>
  </si>
  <si>
    <t>饶平县</t>
  </si>
  <si>
    <t>普宁市</t>
  </si>
  <si>
    <t>揭西县</t>
  </si>
  <si>
    <t>惠来县</t>
  </si>
  <si>
    <t>罗定市</t>
  </si>
  <si>
    <t>新兴县</t>
  </si>
  <si>
    <r>
      <rPr>
        <sz val="10.5"/>
        <rFont val="宋体"/>
        <charset val="134"/>
      </rPr>
      <t>注：</t>
    </r>
    <r>
      <rPr>
        <sz val="10.5"/>
        <rFont val="Times New Roman"/>
        <charset val="134"/>
      </rPr>
      <t xml:space="preserve">
1.</t>
    </r>
    <r>
      <rPr>
        <sz val="10.5"/>
        <rFont val="宋体"/>
        <charset val="134"/>
      </rPr>
      <t>各地市应保证麻风休养员生活费标准不低于当地城镇居民最低生活保障线。</t>
    </r>
    <r>
      <rPr>
        <sz val="10.5"/>
        <rFont val="Times New Roman"/>
        <charset val="134"/>
      </rPr>
      <t xml:space="preserve">
2.</t>
    </r>
    <r>
      <rPr>
        <sz val="10.5"/>
        <rFont val="宋体"/>
        <charset val="134"/>
      </rPr>
      <t>性病防治项目测算结合各因素与各市县财力情况调整，优先补助非珠三角地区。</t>
    </r>
    <r>
      <rPr>
        <sz val="10.5"/>
        <rFont val="Times New Roman"/>
        <charset val="134"/>
      </rPr>
      <t xml:space="preserve">
3.</t>
    </r>
    <r>
      <rPr>
        <sz val="10.5"/>
        <rFont val="宋体"/>
        <charset val="134"/>
      </rPr>
      <t>应急处置项目补助标准：疫源地监测点（国家监测点廉江市，省固定监测点麻章区、雷州市、遂溪县）</t>
    </r>
    <r>
      <rPr>
        <sz val="10.5"/>
        <rFont val="Times New Roman"/>
        <charset val="134"/>
      </rPr>
      <t>,</t>
    </r>
    <r>
      <rPr>
        <sz val="10.5"/>
        <rFont val="宋体"/>
        <charset val="134"/>
      </rPr>
      <t>活体鼠检测全年不少于</t>
    </r>
    <r>
      <rPr>
        <sz val="10.5"/>
        <rFont val="Times New Roman"/>
        <charset val="134"/>
      </rPr>
      <t>1000</t>
    </r>
    <r>
      <rPr>
        <sz val="10.5"/>
        <rFont val="宋体"/>
        <charset val="134"/>
      </rPr>
      <t>只</t>
    </r>
    <r>
      <rPr>
        <sz val="10.5"/>
        <rFont val="Times New Roman"/>
        <charset val="134"/>
      </rPr>
      <t>,</t>
    </r>
    <r>
      <rPr>
        <sz val="10.5"/>
        <rFont val="宋体"/>
        <charset val="134"/>
      </rPr>
      <t>国家监测点补助</t>
    </r>
    <r>
      <rPr>
        <sz val="10.5"/>
        <rFont val="Times New Roman"/>
        <charset val="134"/>
      </rPr>
      <t>9</t>
    </r>
    <r>
      <rPr>
        <sz val="10.5"/>
        <rFont val="宋体"/>
        <charset val="134"/>
      </rPr>
      <t>万元</t>
    </r>
    <r>
      <rPr>
        <sz val="10.5"/>
        <rFont val="Times New Roman"/>
        <charset val="134"/>
      </rPr>
      <t>/</t>
    </r>
    <r>
      <rPr>
        <sz val="10.5"/>
        <rFont val="宋体"/>
        <charset val="134"/>
      </rPr>
      <t>监测点，固定监测点7万元/监测点；其它流动监测点（佛山（顺德）、揭阳（揭东区）、云浮（罗定市</t>
    </r>
    <r>
      <rPr>
        <sz val="10.5"/>
        <rFont val="Times New Roman"/>
        <charset val="134"/>
      </rPr>
      <t>-</t>
    </r>
    <r>
      <rPr>
        <sz val="10.5"/>
        <rFont val="宋体"/>
        <charset val="134"/>
      </rPr>
      <t>直管县）、河源（紫金县</t>
    </r>
    <r>
      <rPr>
        <sz val="10.5"/>
        <rFont val="Times New Roman"/>
        <charset val="134"/>
      </rPr>
      <t>-</t>
    </r>
    <r>
      <rPr>
        <sz val="10.5"/>
        <rFont val="宋体"/>
        <charset val="134"/>
      </rPr>
      <t>直管县））补助</t>
    </r>
    <r>
      <rPr>
        <sz val="10.5"/>
        <rFont val="Times New Roman"/>
        <charset val="134"/>
      </rPr>
      <t>3</t>
    </r>
    <r>
      <rPr>
        <sz val="10.5"/>
        <rFont val="宋体"/>
        <charset val="134"/>
      </rPr>
      <t>万元</t>
    </r>
    <r>
      <rPr>
        <sz val="10.5"/>
        <rFont val="Times New Roman"/>
        <charset val="134"/>
      </rPr>
      <t>/</t>
    </r>
    <r>
      <rPr>
        <sz val="10.5"/>
        <rFont val="宋体"/>
        <charset val="134"/>
      </rPr>
      <t>监测点；同时补助湛江鼠疫防治研究所</t>
    </r>
    <r>
      <rPr>
        <sz val="10.5"/>
        <rFont val="Times New Roman"/>
        <charset val="134"/>
      </rPr>
      <t>11</t>
    </r>
    <r>
      <rPr>
        <sz val="10.5"/>
        <rFont val="宋体"/>
        <charset val="134"/>
      </rPr>
      <t>万元用于组织鼠疫监测、物资储备、调研、健康宣教、专业人员培训、技术指导等工作。</t>
    </r>
    <r>
      <rPr>
        <sz val="10.5"/>
        <rFont val="Times New Roman"/>
        <charset val="134"/>
      </rPr>
      <t xml:space="preserve">
4.</t>
    </r>
    <r>
      <rPr>
        <sz val="10.5"/>
        <rFont val="宋体"/>
        <charset val="134"/>
      </rPr>
      <t>精神卫生项目广州市预算金额含广州医科大学附属脑科医院幸福医院项目综合医院门诊和住院患者心理健康评估和干预体系建设预算</t>
    </r>
    <r>
      <rPr>
        <sz val="10.5"/>
        <rFont val="Times New Roman"/>
        <charset val="134"/>
      </rPr>
      <t>40</t>
    </r>
    <r>
      <rPr>
        <sz val="10.5"/>
        <rFont val="宋体"/>
        <charset val="134"/>
      </rPr>
      <t>万元，支出内容人员培训、专家咨询、国际研讨会议费、项目人员聘用、数据分析等。</t>
    </r>
    <r>
      <rPr>
        <sz val="10.5"/>
        <rFont val="Times New Roman"/>
        <charset val="134"/>
      </rPr>
      <t xml:space="preserve">
5.</t>
    </r>
    <r>
      <rPr>
        <sz val="10.5"/>
        <rFont val="宋体"/>
        <charset val="134"/>
      </rPr>
      <t>慢性病防治项目广州市预算金额含广州医科大学附属第一医院健康广东呼吸防治项目预算</t>
    </r>
    <r>
      <rPr>
        <sz val="10.5"/>
        <rFont val="Times New Roman"/>
        <charset val="134"/>
      </rPr>
      <t>80</t>
    </r>
    <r>
      <rPr>
        <sz val="10.5"/>
        <rFont val="宋体"/>
        <charset val="134"/>
      </rPr>
      <t>万元，支出内容包括会议费、差旅费、技术服务费、材料费、资料费、专家费、人员劳务费等。
6.慢性病防治项目基层医疗机构高血压糖尿病规范（示范）区建设，广州市越秀区白云街社区卫生服务中心、海珠区沙园街社区卫生服务中心、番禺区东环街社区卫生服务中心、增城区石滩镇中心卫生院，珠海市金湾区三灶镇卫生院，东莞市塘厦镇社区卫生服务中心、麻涌镇社区卫生服务中心等7家单位各5万元工作经费。</t>
    </r>
    <r>
      <rPr>
        <sz val="10.5"/>
        <rFont val="Times New Roman"/>
        <charset val="134"/>
      </rPr>
      <t xml:space="preserve">
7.</t>
    </r>
    <r>
      <rPr>
        <sz val="10.5"/>
        <rFont val="宋体"/>
        <charset val="134"/>
      </rPr>
      <t>公共卫生骨干人才培训项目 ：GDFETP实践基地单位共有8个（广州、深圳、佛山、珠海、东莞、肇庆、清远、深圳罗湖），基地补助费用3万元/单位*6个单位（广州、佛山、珠海、东莞、肇庆、清远），用于基地建设工作包含学员用餐、宿舍租赁和维护、工作差旅等后勤保障事务及日常教学工作。
8.结核病防治项目补助潮州市、肇庆市、梅州梅江区、阳江市、云浮市等5家结核病防治机构各100万元，为人口较多、工作需求较迫切的部分地市级和县区级结核病防治机构提供经费购买移动DR车，以提高主动发现病人的能力。基于重点人群和重点场所属于群体性及基层服务能力不足等的实际情况，计划配置移动DR车，并采取5G+AI人工智能辅助诊断的配置，搭建远程技术诊断平台，切实加强诊断能力和水平。</t>
    </r>
  </si>
  <si>
    <t>附件4-2</t>
  </si>
  <si>
    <t>2022年省级疫病防控项目资金测算表(市县部分)</t>
  </si>
  <si>
    <t>预算单位</t>
  </si>
  <si>
    <t>财政补助比例</t>
  </si>
  <si>
    <t>扩大免疫规划</t>
  </si>
  <si>
    <t>艾滋病防治</t>
  </si>
  <si>
    <t>结核病防控</t>
  </si>
  <si>
    <t>重点传染病防治</t>
  </si>
  <si>
    <r>
      <rPr>
        <b/>
        <sz val="10"/>
        <rFont val="宋体"/>
        <charset val="134"/>
      </rPr>
      <t>地方病与寄生虫病防治项目</t>
    </r>
    <r>
      <rPr>
        <b/>
        <sz val="10"/>
        <rFont val="Times New Roman"/>
        <charset val="134"/>
      </rPr>
      <t xml:space="preserve"> </t>
    </r>
  </si>
  <si>
    <t>性病防控</t>
  </si>
  <si>
    <t>麻风病防控</t>
  </si>
  <si>
    <t>精神卫生</t>
  </si>
  <si>
    <t>慢性病综合防治</t>
  </si>
  <si>
    <t>牙病防治</t>
  </si>
  <si>
    <t>基层医疗机构高血压糖尿病规范（示范）区建设</t>
  </si>
  <si>
    <r>
      <rPr>
        <b/>
        <sz val="10"/>
        <rFont val="宋体"/>
        <charset val="134"/>
      </rPr>
      <t>慢病防治项目补助资金（含广州医科大学附属第一医院</t>
    </r>
    <r>
      <rPr>
        <b/>
        <sz val="10"/>
        <rFont val="Times New Roman"/>
        <charset val="134"/>
      </rPr>
      <t>80</t>
    </r>
    <r>
      <rPr>
        <b/>
        <sz val="10"/>
        <rFont val="宋体"/>
        <charset val="134"/>
      </rPr>
      <t>万元）</t>
    </r>
  </si>
  <si>
    <t>学校卫生和环境卫生</t>
  </si>
  <si>
    <t>公共卫生骨干人才培训项目</t>
  </si>
  <si>
    <t>职业病防治</t>
  </si>
  <si>
    <t>鼠疫防治</t>
  </si>
  <si>
    <r>
      <rPr>
        <b/>
        <sz val="10"/>
        <rFont val="宋体"/>
        <charset val="134"/>
      </rPr>
      <t>合计</t>
    </r>
    <r>
      <rPr>
        <b/>
        <sz val="10"/>
        <rFont val="Times New Roman"/>
        <charset val="134"/>
      </rPr>
      <t xml:space="preserve">
(</t>
    </r>
    <r>
      <rPr>
        <b/>
        <sz val="10"/>
        <rFont val="宋体"/>
        <charset val="134"/>
      </rPr>
      <t>含广州医科大学附属脑科医院</t>
    </r>
    <r>
      <rPr>
        <b/>
        <sz val="10"/>
        <rFont val="Times New Roman"/>
        <charset val="134"/>
      </rPr>
      <t>40</t>
    </r>
    <r>
      <rPr>
        <b/>
        <sz val="10"/>
        <rFont val="宋体"/>
        <charset val="134"/>
      </rPr>
      <t>万元、广州医科大学附属第一医院</t>
    </r>
    <r>
      <rPr>
        <b/>
        <sz val="10"/>
        <rFont val="Times New Roman"/>
        <charset val="134"/>
      </rPr>
      <t>80</t>
    </r>
    <r>
      <rPr>
        <b/>
        <sz val="10"/>
        <rFont val="宋体"/>
        <charset val="134"/>
      </rPr>
      <t>万元</t>
    </r>
    <r>
      <rPr>
        <b/>
        <sz val="10"/>
        <rFont val="Times New Roman"/>
        <charset val="134"/>
      </rPr>
      <t>)</t>
    </r>
  </si>
  <si>
    <t>免疫规划疫苗报告接种率实种人数（人）</t>
  </si>
  <si>
    <t>系数</t>
  </si>
  <si>
    <t>财政补助比例调整</t>
  </si>
  <si>
    <t>综合财政补助比例后系数</t>
  </si>
  <si>
    <t>补助资金</t>
  </si>
  <si>
    <r>
      <rPr>
        <b/>
        <sz val="9"/>
        <rFont val="宋体"/>
        <charset val="134"/>
      </rPr>
      <t>现存活</t>
    </r>
    <r>
      <rPr>
        <b/>
        <sz val="9"/>
        <rFont val="Times New Roman"/>
        <charset val="134"/>
      </rPr>
      <t>HIV/AIDS</t>
    </r>
    <r>
      <rPr>
        <b/>
        <sz val="9"/>
        <rFont val="宋体"/>
        <charset val="134"/>
      </rPr>
      <t>数（人）</t>
    </r>
  </si>
  <si>
    <r>
      <rPr>
        <b/>
        <sz val="9"/>
        <rFont val="Times New Roman"/>
        <charset val="134"/>
      </rPr>
      <t>HIV</t>
    </r>
    <r>
      <rPr>
        <b/>
        <sz val="9"/>
        <rFont val="宋体"/>
        <charset val="134"/>
      </rPr>
      <t>扩大检测人数（人）</t>
    </r>
  </si>
  <si>
    <r>
      <rPr>
        <b/>
        <sz val="9"/>
        <rFont val="Times New Roman"/>
        <charset val="134"/>
      </rPr>
      <t>MDR</t>
    </r>
    <r>
      <rPr>
        <b/>
        <sz val="9"/>
        <rFont val="宋体"/>
        <charset val="134"/>
      </rPr>
      <t>患者数（人）</t>
    </r>
  </si>
  <si>
    <t>终结结核流行综合干预示范区项目（个）</t>
  </si>
  <si>
    <t>耐药肺结核患者关怀试点项目（个）</t>
  </si>
  <si>
    <t>涂阴肺结核患者数</t>
  </si>
  <si>
    <t>补助资金1</t>
  </si>
  <si>
    <t>诊断能力建设
(补助资金2)</t>
  </si>
  <si>
    <t>哨点监测常规任务数</t>
  </si>
  <si>
    <t>实验室检测常规任务数</t>
  </si>
  <si>
    <t>疫情监测任务单位（个）</t>
  </si>
  <si>
    <t>综合能力建设项</t>
  </si>
  <si>
    <t>地方病监测市级复核样品数</t>
  </si>
  <si>
    <t>水碘调查市级检测行政村（居委）数</t>
  </si>
  <si>
    <t>疟疾病原监测完成县（区）数</t>
  </si>
  <si>
    <t>寄生虫及媒介监测点数</t>
  </si>
  <si>
    <t>省级儿童蛲虫试点数</t>
  </si>
  <si>
    <t>血吸虫监测项目数</t>
  </si>
  <si>
    <r>
      <rPr>
        <b/>
        <sz val="9"/>
        <rFont val="宋体"/>
        <charset val="134"/>
      </rPr>
      <t>补助资金</t>
    </r>
    <r>
      <rPr>
        <b/>
        <sz val="9"/>
        <rFont val="Times New Roman"/>
        <charset val="134"/>
      </rPr>
      <t>1</t>
    </r>
  </si>
  <si>
    <t>钉螺疫情处置任务数（点）</t>
  </si>
  <si>
    <r>
      <rPr>
        <b/>
        <sz val="9"/>
        <rFont val="宋体"/>
        <charset val="134"/>
      </rPr>
      <t>补助资金</t>
    </r>
    <r>
      <rPr>
        <b/>
        <sz val="9"/>
        <rFont val="Times New Roman"/>
        <charset val="134"/>
      </rPr>
      <t>2</t>
    </r>
  </si>
  <si>
    <t>疫情报告及管理地区数量</t>
  </si>
  <si>
    <t>疫情报告及管理个案调查数量</t>
  </si>
  <si>
    <t>性病主动监测样本收集数量</t>
  </si>
  <si>
    <t>耐药监测样本收集数量</t>
  </si>
  <si>
    <t>性病质控管理</t>
  </si>
  <si>
    <t>高危人群性病干预管理</t>
  </si>
  <si>
    <t>性病风险自评干预加强地区</t>
  </si>
  <si>
    <t>性病风险自评干预常规地区</t>
  </si>
  <si>
    <t>衣原体淋病综合防治干预试点</t>
  </si>
  <si>
    <t>性病防治督导宣教及培训经费</t>
  </si>
  <si>
    <t>麻风休养员补助人数</t>
  </si>
  <si>
    <t>症状监测筛查可疑者例数</t>
  </si>
  <si>
    <r>
      <rPr>
        <b/>
        <sz val="8"/>
        <rFont val="宋体"/>
        <charset val="134"/>
      </rPr>
      <t>患者规范管理治疗经费（补助标准：</t>
    </r>
    <r>
      <rPr>
        <b/>
        <sz val="8"/>
        <rFont val="Times New Roman"/>
        <charset val="134"/>
      </rPr>
      <t>8.9</t>
    </r>
    <r>
      <rPr>
        <b/>
        <sz val="8"/>
        <rFont val="宋体"/>
        <charset val="134"/>
      </rPr>
      <t>元</t>
    </r>
    <r>
      <rPr>
        <b/>
        <sz val="8"/>
        <rFont val="Times New Roman"/>
        <charset val="134"/>
      </rPr>
      <t>/</t>
    </r>
    <r>
      <rPr>
        <b/>
        <sz val="8"/>
        <rFont val="宋体"/>
        <charset val="134"/>
      </rPr>
      <t>人）</t>
    </r>
  </si>
  <si>
    <r>
      <rPr>
        <b/>
        <sz val="8"/>
        <rFont val="宋体"/>
        <charset val="134"/>
      </rPr>
      <t>技术培训和宣传经费（补助标准：</t>
    </r>
    <r>
      <rPr>
        <b/>
        <sz val="8"/>
        <rFont val="Times New Roman"/>
        <charset val="0"/>
      </rPr>
      <t>250</t>
    </r>
    <r>
      <rPr>
        <b/>
        <sz val="8"/>
        <rFont val="宋体"/>
        <charset val="134"/>
      </rPr>
      <t>元</t>
    </r>
    <r>
      <rPr>
        <b/>
        <sz val="8"/>
        <rFont val="Times New Roman"/>
        <charset val="0"/>
      </rPr>
      <t>/</t>
    </r>
    <r>
      <rPr>
        <b/>
        <sz val="8"/>
        <rFont val="宋体"/>
        <charset val="134"/>
      </rPr>
      <t>人次）</t>
    </r>
  </si>
  <si>
    <r>
      <rPr>
        <b/>
        <sz val="8"/>
        <rFont val="宋体"/>
        <charset val="0"/>
      </rPr>
      <t>督导考核经费（补助标准：市级</t>
    </r>
    <r>
      <rPr>
        <b/>
        <sz val="8"/>
        <rFont val="Times New Roman"/>
        <charset val="0"/>
      </rPr>
      <t>800</t>
    </r>
    <r>
      <rPr>
        <b/>
        <sz val="8"/>
        <rFont val="宋体"/>
        <charset val="0"/>
      </rPr>
      <t>元</t>
    </r>
    <r>
      <rPr>
        <b/>
        <sz val="8"/>
        <rFont val="Times New Roman"/>
        <charset val="0"/>
      </rPr>
      <t>/</t>
    </r>
    <r>
      <rPr>
        <b/>
        <sz val="8"/>
        <rFont val="宋体"/>
        <charset val="0"/>
      </rPr>
      <t>天，</t>
    </r>
    <r>
      <rPr>
        <b/>
        <sz val="8"/>
        <rFont val="Times New Roman"/>
        <charset val="0"/>
      </rPr>
      <t>2</t>
    </r>
    <r>
      <rPr>
        <b/>
        <sz val="8"/>
        <rFont val="宋体"/>
        <charset val="0"/>
      </rPr>
      <t>天；县级</t>
    </r>
    <r>
      <rPr>
        <b/>
        <sz val="8"/>
        <rFont val="Times New Roman"/>
        <charset val="0"/>
      </rPr>
      <t>400</t>
    </r>
    <r>
      <rPr>
        <b/>
        <sz val="8"/>
        <rFont val="宋体"/>
        <charset val="0"/>
      </rPr>
      <t>元</t>
    </r>
    <r>
      <rPr>
        <b/>
        <sz val="8"/>
        <rFont val="Times New Roman"/>
        <charset val="0"/>
      </rPr>
      <t>/</t>
    </r>
    <r>
      <rPr>
        <b/>
        <sz val="8"/>
        <rFont val="宋体"/>
        <charset val="0"/>
      </rPr>
      <t>天，</t>
    </r>
    <r>
      <rPr>
        <b/>
        <sz val="8"/>
        <rFont val="Times New Roman"/>
        <charset val="0"/>
      </rPr>
      <t>1</t>
    </r>
    <r>
      <rPr>
        <b/>
        <sz val="8"/>
        <rFont val="宋体"/>
        <charset val="0"/>
      </rPr>
      <t>天。）</t>
    </r>
  </si>
  <si>
    <r>
      <rPr>
        <b/>
        <sz val="8"/>
        <rFont val="宋体"/>
        <charset val="134"/>
      </rPr>
      <t>精神科医师转岗培训经费（补助标准：</t>
    </r>
    <r>
      <rPr>
        <b/>
        <sz val="8"/>
        <rFont val="Times New Roman"/>
        <charset val="0"/>
      </rPr>
      <t>1.5</t>
    </r>
    <r>
      <rPr>
        <b/>
        <sz val="8"/>
        <rFont val="宋体"/>
        <charset val="134"/>
      </rPr>
      <t>万元</t>
    </r>
    <r>
      <rPr>
        <b/>
        <sz val="8"/>
        <rFont val="Times New Roman"/>
        <charset val="0"/>
      </rPr>
      <t>/</t>
    </r>
    <r>
      <rPr>
        <b/>
        <sz val="8"/>
        <rFont val="宋体"/>
        <charset val="134"/>
      </rPr>
      <t>人）</t>
    </r>
  </si>
  <si>
    <t>心理热线和危机干预队伍建设</t>
  </si>
  <si>
    <t>心理健康服务试点</t>
  </si>
  <si>
    <r>
      <rPr>
        <b/>
        <sz val="8"/>
        <rFont val="宋体"/>
        <charset val="134"/>
      </rPr>
      <t>补助资金（含广州医科大学附属脑科医院</t>
    </r>
    <r>
      <rPr>
        <b/>
        <sz val="8"/>
        <rFont val="Times New Roman"/>
        <charset val="134"/>
      </rPr>
      <t>40</t>
    </r>
    <r>
      <rPr>
        <b/>
        <sz val="8"/>
        <rFont val="宋体"/>
        <charset val="134"/>
      </rPr>
      <t>万元）</t>
    </r>
  </si>
  <si>
    <t>慢病示范区任务数（点）</t>
  </si>
  <si>
    <t>伤害监测与干预任务数（点）</t>
  </si>
  <si>
    <t>全民健康生活方式任务数（点）</t>
  </si>
  <si>
    <t>重点慢性病综合干预任务数（点）</t>
  </si>
  <si>
    <t>高血压和糖尿病管理能力提升项目任务数（点）</t>
  </si>
  <si>
    <t>伤害流行病学调查（点）</t>
  </si>
  <si>
    <t>窝沟封闭（颗）</t>
  </si>
  <si>
    <t>局部用氟（人）</t>
  </si>
  <si>
    <r>
      <rPr>
        <b/>
        <sz val="9"/>
        <rFont val="宋体"/>
        <charset val="134"/>
      </rPr>
      <t>随访任务，</t>
    </r>
    <r>
      <rPr>
        <b/>
        <sz val="9"/>
        <rFont val="Times New Roman"/>
        <charset val="134"/>
      </rPr>
      <t>1000</t>
    </r>
    <r>
      <rPr>
        <b/>
        <sz val="9"/>
        <rFont val="宋体"/>
        <charset val="134"/>
      </rPr>
      <t>人</t>
    </r>
    <r>
      <rPr>
        <b/>
        <sz val="9"/>
        <rFont val="Times New Roman"/>
        <charset val="134"/>
      </rPr>
      <t>/</t>
    </r>
    <r>
      <rPr>
        <b/>
        <sz val="9"/>
        <rFont val="宋体"/>
        <charset val="134"/>
      </rPr>
      <t>社区</t>
    </r>
    <r>
      <rPr>
        <b/>
        <sz val="9"/>
        <rFont val="Times New Roman"/>
        <charset val="134"/>
      </rPr>
      <t xml:space="preserve">
</t>
    </r>
    <r>
      <rPr>
        <b/>
        <sz val="9"/>
        <rFont val="宋体"/>
        <charset val="134"/>
      </rPr>
      <t>（人）</t>
    </r>
  </si>
  <si>
    <r>
      <rPr>
        <b/>
        <sz val="8"/>
        <rFont val="宋体"/>
        <charset val="134"/>
      </rPr>
      <t>学生常见病监测</t>
    </r>
    <r>
      <rPr>
        <b/>
        <sz val="8"/>
        <rFont val="Times New Roman"/>
        <charset val="134"/>
      </rPr>
      <t>/</t>
    </r>
    <r>
      <rPr>
        <b/>
        <sz val="8"/>
        <rFont val="宋体"/>
        <charset val="134"/>
      </rPr>
      <t>近视调查监测点（点）</t>
    </r>
  </si>
  <si>
    <t>全国儿童青少年近视防控适宜技术试点区县（点）</t>
  </si>
  <si>
    <t>学生传染病症状监测区县（点）</t>
  </si>
  <si>
    <t>生活饮用水监测点（点）</t>
  </si>
  <si>
    <t>系数调整</t>
  </si>
  <si>
    <r>
      <rPr>
        <b/>
        <sz val="9"/>
        <rFont val="Times New Roman"/>
        <charset val="134"/>
      </rPr>
      <t>GDFETP</t>
    </r>
    <r>
      <rPr>
        <b/>
        <sz val="9"/>
        <rFont val="宋体"/>
        <charset val="134"/>
      </rPr>
      <t>实践基地</t>
    </r>
    <r>
      <rPr>
        <b/>
        <sz val="9"/>
        <rFont val="Times New Roman"/>
        <charset val="134"/>
      </rPr>
      <t xml:space="preserve">
</t>
    </r>
    <r>
      <rPr>
        <b/>
        <sz val="9"/>
        <rFont val="宋体"/>
        <charset val="134"/>
      </rPr>
      <t>（个）</t>
    </r>
  </si>
  <si>
    <t>补助资金（用于职业健康监管（执法）人员培训、职业健康保护行动宣传教育等）</t>
  </si>
  <si>
    <t>补助资金（具体测试标准见总表备注）</t>
  </si>
  <si>
    <t>[0]</t>
  </si>
  <si>
    <t>①</t>
  </si>
  <si>
    <r>
      <rPr>
        <sz val="8"/>
        <rFont val="Calibri"/>
        <charset val="134"/>
      </rPr>
      <t>②</t>
    </r>
    <r>
      <rPr>
        <sz val="8"/>
        <rFont val="Times New Roman"/>
        <charset val="134"/>
      </rPr>
      <t>=</t>
    </r>
    <r>
      <rPr>
        <sz val="8"/>
        <rFont val="Calibri"/>
        <charset val="134"/>
      </rPr>
      <t>①</t>
    </r>
    <r>
      <rPr>
        <sz val="8"/>
        <rFont val="宋体"/>
        <charset val="134"/>
      </rPr>
      <t>栏</t>
    </r>
    <r>
      <rPr>
        <sz val="8"/>
        <rFont val="Times New Roman"/>
        <charset val="134"/>
      </rPr>
      <t>/∑</t>
    </r>
    <r>
      <rPr>
        <sz val="8"/>
        <rFont val="Calibri"/>
        <charset val="134"/>
      </rPr>
      <t>①</t>
    </r>
  </si>
  <si>
    <r>
      <rPr>
        <sz val="8"/>
        <rFont val="Calibri"/>
        <charset val="134"/>
      </rPr>
      <t>②</t>
    </r>
    <r>
      <rPr>
        <sz val="8"/>
        <rFont val="Times New Roman"/>
        <charset val="134"/>
      </rPr>
      <t>*[0]</t>
    </r>
  </si>
  <si>
    <r>
      <rPr>
        <sz val="8"/>
        <rFont val="Calibri"/>
        <charset val="134"/>
      </rPr>
      <t>③</t>
    </r>
    <r>
      <rPr>
        <sz val="8"/>
        <rFont val="Times New Roman"/>
        <charset val="134"/>
      </rPr>
      <t>=</t>
    </r>
    <r>
      <rPr>
        <sz val="8"/>
        <rFont val="宋体"/>
        <charset val="134"/>
      </rPr>
      <t>（</t>
    </r>
    <r>
      <rPr>
        <sz val="8"/>
        <rFont val="Calibri"/>
        <charset val="134"/>
      </rPr>
      <t>②</t>
    </r>
    <r>
      <rPr>
        <sz val="8"/>
        <rFont val="Times New Roman"/>
        <charset val="134"/>
      </rPr>
      <t>*[0]</t>
    </r>
    <r>
      <rPr>
        <sz val="8"/>
        <rFont val="宋体"/>
        <charset val="134"/>
      </rPr>
      <t>）</t>
    </r>
    <r>
      <rPr>
        <sz val="8"/>
        <rFont val="Times New Roman"/>
        <charset val="134"/>
      </rPr>
      <t>/∑</t>
    </r>
    <r>
      <rPr>
        <sz val="8"/>
        <rFont val="宋体"/>
        <charset val="134"/>
      </rPr>
      <t>（</t>
    </r>
    <r>
      <rPr>
        <sz val="8"/>
        <rFont val="Calibri"/>
        <charset val="134"/>
      </rPr>
      <t>②</t>
    </r>
    <r>
      <rPr>
        <sz val="8"/>
        <rFont val="Times New Roman"/>
        <charset val="134"/>
      </rPr>
      <t>*[0]</t>
    </r>
    <r>
      <rPr>
        <sz val="8"/>
        <rFont val="宋体"/>
        <charset val="134"/>
      </rPr>
      <t>）</t>
    </r>
  </si>
  <si>
    <r>
      <rPr>
        <sz val="8"/>
        <rFont val="Times New Roman"/>
        <charset val="134"/>
      </rPr>
      <t>[1]=</t>
    </r>
    <r>
      <rPr>
        <sz val="8"/>
        <rFont val="宋体"/>
        <charset val="134"/>
      </rPr>
      <t>（</t>
    </r>
    <r>
      <rPr>
        <sz val="8"/>
        <rFont val="Times New Roman"/>
        <charset val="134"/>
      </rPr>
      <t>204.97</t>
    </r>
    <r>
      <rPr>
        <sz val="8"/>
        <rFont val="宋体"/>
        <charset val="134"/>
      </rPr>
      <t>）</t>
    </r>
    <r>
      <rPr>
        <sz val="8"/>
        <rFont val="Times New Roman"/>
        <charset val="134"/>
      </rPr>
      <t>*</t>
    </r>
    <r>
      <rPr>
        <sz val="8"/>
        <rFont val="宋体"/>
        <charset val="134"/>
      </rPr>
      <t>③</t>
    </r>
  </si>
  <si>
    <t>②</t>
  </si>
  <si>
    <r>
      <rPr>
        <sz val="8"/>
        <rFont val="Calibri"/>
        <charset val="134"/>
      </rPr>
      <t>③</t>
    </r>
    <r>
      <rPr>
        <sz val="8"/>
        <rFont val="Times New Roman"/>
        <charset val="134"/>
      </rPr>
      <t>=</t>
    </r>
    <r>
      <rPr>
        <sz val="8"/>
        <rFont val="宋体"/>
        <charset val="134"/>
      </rPr>
      <t>（</t>
    </r>
    <r>
      <rPr>
        <sz val="8"/>
        <rFont val="Calibri"/>
        <charset val="134"/>
      </rPr>
      <t>①</t>
    </r>
    <r>
      <rPr>
        <sz val="8"/>
        <rFont val="Times New Roman"/>
        <charset val="134"/>
      </rPr>
      <t>*0.028+</t>
    </r>
    <r>
      <rPr>
        <sz val="8"/>
        <rFont val="Calibri"/>
        <charset val="134"/>
      </rPr>
      <t>②</t>
    </r>
    <r>
      <rPr>
        <sz val="8"/>
        <rFont val="Times New Roman"/>
        <charset val="134"/>
      </rPr>
      <t>*0.001)/(∑</t>
    </r>
    <r>
      <rPr>
        <sz val="8"/>
        <rFont val="Calibri"/>
        <charset val="134"/>
      </rPr>
      <t>①</t>
    </r>
    <r>
      <rPr>
        <sz val="8"/>
        <rFont val="Times New Roman"/>
        <charset val="134"/>
      </rPr>
      <t>*0.028+∑</t>
    </r>
    <r>
      <rPr>
        <sz val="8"/>
        <rFont val="Calibri"/>
        <charset val="134"/>
      </rPr>
      <t>②</t>
    </r>
    <r>
      <rPr>
        <sz val="8"/>
        <rFont val="Times New Roman"/>
        <charset val="134"/>
      </rPr>
      <t>*0.001</t>
    </r>
    <r>
      <rPr>
        <sz val="8"/>
        <rFont val="宋体"/>
        <charset val="134"/>
      </rPr>
      <t>）</t>
    </r>
  </si>
  <si>
    <r>
      <rPr>
        <sz val="8"/>
        <rFont val="Calibri"/>
        <charset val="134"/>
      </rPr>
      <t>③</t>
    </r>
    <r>
      <rPr>
        <sz val="8"/>
        <rFont val="Times New Roman"/>
        <charset val="134"/>
      </rPr>
      <t>*[0]</t>
    </r>
  </si>
  <si>
    <r>
      <rPr>
        <sz val="8"/>
        <rFont val="Calibri"/>
        <charset val="134"/>
      </rPr>
      <t>④</t>
    </r>
    <r>
      <rPr>
        <sz val="8"/>
        <rFont val="Times New Roman"/>
        <charset val="134"/>
      </rPr>
      <t>=</t>
    </r>
    <r>
      <rPr>
        <sz val="8"/>
        <rFont val="宋体"/>
        <charset val="134"/>
      </rPr>
      <t>（</t>
    </r>
    <r>
      <rPr>
        <sz val="8"/>
        <rFont val="Calibri"/>
        <charset val="134"/>
      </rPr>
      <t>③</t>
    </r>
    <r>
      <rPr>
        <sz val="8"/>
        <rFont val="Times New Roman"/>
        <charset val="134"/>
      </rPr>
      <t>*[0]</t>
    </r>
    <r>
      <rPr>
        <sz val="8"/>
        <rFont val="宋体"/>
        <charset val="134"/>
      </rPr>
      <t>）</t>
    </r>
    <r>
      <rPr>
        <sz val="8"/>
        <rFont val="Times New Roman"/>
        <charset val="134"/>
      </rPr>
      <t>/∑</t>
    </r>
    <r>
      <rPr>
        <sz val="8"/>
        <rFont val="宋体"/>
        <charset val="134"/>
      </rPr>
      <t>（</t>
    </r>
    <r>
      <rPr>
        <sz val="8"/>
        <rFont val="Calibri"/>
        <charset val="134"/>
      </rPr>
      <t>③</t>
    </r>
    <r>
      <rPr>
        <sz val="8"/>
        <rFont val="Times New Roman"/>
        <charset val="134"/>
      </rPr>
      <t>*[0]</t>
    </r>
    <r>
      <rPr>
        <sz val="8"/>
        <rFont val="宋体"/>
        <charset val="134"/>
      </rPr>
      <t>）</t>
    </r>
  </si>
  <si>
    <r>
      <rPr>
        <sz val="8"/>
        <rFont val="Times New Roman"/>
        <charset val="134"/>
      </rPr>
      <t>[2]=</t>
    </r>
    <r>
      <rPr>
        <sz val="8"/>
        <rFont val="宋体"/>
        <charset val="134"/>
      </rPr>
      <t>（</t>
    </r>
    <r>
      <rPr>
        <sz val="8"/>
        <rFont val="Times New Roman"/>
        <charset val="134"/>
      </rPr>
      <t>2738.86</t>
    </r>
    <r>
      <rPr>
        <sz val="8"/>
        <rFont val="宋体"/>
        <charset val="134"/>
      </rPr>
      <t>）</t>
    </r>
    <r>
      <rPr>
        <sz val="8"/>
        <rFont val="Times New Roman"/>
        <charset val="134"/>
      </rPr>
      <t>*</t>
    </r>
    <r>
      <rPr>
        <sz val="8"/>
        <rFont val="宋体"/>
        <charset val="134"/>
      </rPr>
      <t>④</t>
    </r>
  </si>
  <si>
    <t>③</t>
  </si>
  <si>
    <t>④</t>
  </si>
  <si>
    <r>
      <rPr>
        <sz val="8"/>
        <rFont val="宋体"/>
        <charset val="134"/>
      </rPr>
      <t>⑤</t>
    </r>
    <r>
      <rPr>
        <sz val="8"/>
        <rFont val="Times New Roman"/>
        <charset val="134"/>
      </rPr>
      <t>=</t>
    </r>
    <r>
      <rPr>
        <sz val="8"/>
        <rFont val="宋体"/>
        <charset val="134"/>
      </rPr>
      <t>（</t>
    </r>
    <r>
      <rPr>
        <sz val="8"/>
        <rFont val="Calibri"/>
        <charset val="134"/>
      </rPr>
      <t>①</t>
    </r>
    <r>
      <rPr>
        <sz val="8"/>
        <rFont val="Times New Roman"/>
        <charset val="134"/>
      </rPr>
      <t>*4.1+</t>
    </r>
    <r>
      <rPr>
        <sz val="8"/>
        <rFont val="Calibri"/>
        <charset val="134"/>
      </rPr>
      <t>②</t>
    </r>
    <r>
      <rPr>
        <sz val="8"/>
        <rFont val="Times New Roman"/>
        <charset val="134"/>
      </rPr>
      <t>*50+</t>
    </r>
    <r>
      <rPr>
        <sz val="8"/>
        <rFont val="Calibri"/>
        <charset val="134"/>
      </rPr>
      <t>③</t>
    </r>
    <r>
      <rPr>
        <sz val="8"/>
        <rFont val="Times New Roman"/>
        <charset val="134"/>
      </rPr>
      <t>*10+</t>
    </r>
    <r>
      <rPr>
        <sz val="8"/>
        <rFont val="宋体"/>
        <charset val="134"/>
      </rPr>
      <t>④</t>
    </r>
    <r>
      <rPr>
        <sz val="8"/>
        <rFont val="Times New Roman"/>
        <charset val="134"/>
      </rPr>
      <t>*0.02</t>
    </r>
    <r>
      <rPr>
        <sz val="8"/>
        <rFont val="宋体"/>
        <charset val="134"/>
      </rPr>
      <t>）</t>
    </r>
    <r>
      <rPr>
        <sz val="8"/>
        <rFont val="Times New Roman"/>
        <charset val="134"/>
      </rPr>
      <t>/1411.40</t>
    </r>
  </si>
  <si>
    <r>
      <rPr>
        <sz val="8"/>
        <rFont val="宋体"/>
        <charset val="134"/>
      </rPr>
      <t>⑤</t>
    </r>
    <r>
      <rPr>
        <sz val="8"/>
        <rFont val="Times New Roman"/>
        <charset val="134"/>
      </rPr>
      <t>*[0}</t>
    </r>
  </si>
  <si>
    <r>
      <rPr>
        <sz val="8"/>
        <rFont val="宋体"/>
        <charset val="134"/>
      </rPr>
      <t>⑥</t>
    </r>
    <r>
      <rPr>
        <sz val="8"/>
        <rFont val="Times New Roman"/>
        <charset val="134"/>
      </rPr>
      <t>=</t>
    </r>
    <r>
      <rPr>
        <sz val="8"/>
        <rFont val="宋体"/>
        <charset val="134"/>
      </rPr>
      <t>（⑤</t>
    </r>
    <r>
      <rPr>
        <sz val="8"/>
        <rFont val="Times New Roman"/>
        <charset val="134"/>
      </rPr>
      <t>*[0]</t>
    </r>
    <r>
      <rPr>
        <sz val="8"/>
        <rFont val="宋体"/>
        <charset val="134"/>
      </rPr>
      <t>）</t>
    </r>
    <r>
      <rPr>
        <sz val="8"/>
        <rFont val="Times New Roman"/>
        <charset val="134"/>
      </rPr>
      <t>/∑</t>
    </r>
    <r>
      <rPr>
        <sz val="8"/>
        <rFont val="宋体"/>
        <charset val="134"/>
      </rPr>
      <t>（⑤</t>
    </r>
    <r>
      <rPr>
        <sz val="8"/>
        <rFont val="Times New Roman"/>
        <charset val="134"/>
      </rPr>
      <t>*[0]</t>
    </r>
    <r>
      <rPr>
        <sz val="8"/>
        <rFont val="宋体"/>
        <charset val="134"/>
      </rPr>
      <t>）</t>
    </r>
  </si>
  <si>
    <r>
      <rPr>
        <sz val="8"/>
        <rFont val="Times New Roman"/>
        <charset val="134"/>
      </rPr>
      <t>[3-1]=</t>
    </r>
    <r>
      <rPr>
        <sz val="8"/>
        <rFont val="宋体"/>
        <charset val="134"/>
      </rPr>
      <t>（</t>
    </r>
    <r>
      <rPr>
        <sz val="8"/>
        <rFont val="Times New Roman"/>
        <charset val="134"/>
      </rPr>
      <t>701.40</t>
    </r>
    <r>
      <rPr>
        <sz val="8"/>
        <rFont val="宋体"/>
        <charset val="134"/>
      </rPr>
      <t>）</t>
    </r>
    <r>
      <rPr>
        <sz val="8"/>
        <rFont val="Times New Roman"/>
        <charset val="134"/>
      </rPr>
      <t>*</t>
    </r>
    <r>
      <rPr>
        <sz val="8"/>
        <rFont val="宋体"/>
        <charset val="134"/>
      </rPr>
      <t>⑥</t>
    </r>
  </si>
  <si>
    <t>[3-2]</t>
  </si>
  <si>
    <t>[3]=[3-1]+[3-2]</t>
  </si>
  <si>
    <r>
      <rPr>
        <sz val="8"/>
        <rFont val="宋体"/>
        <charset val="134"/>
      </rPr>
      <t>⑤</t>
    </r>
    <r>
      <rPr>
        <sz val="8"/>
        <rFont val="Times New Roman"/>
        <charset val="134"/>
      </rPr>
      <t>=</t>
    </r>
    <r>
      <rPr>
        <sz val="8"/>
        <rFont val="宋体"/>
        <charset val="134"/>
      </rPr>
      <t>（①</t>
    </r>
    <r>
      <rPr>
        <sz val="8"/>
        <rFont val="Times New Roman"/>
        <charset val="134"/>
      </rPr>
      <t>*0.27+</t>
    </r>
    <r>
      <rPr>
        <sz val="8"/>
        <rFont val="宋体"/>
        <charset val="134"/>
      </rPr>
      <t>②</t>
    </r>
    <r>
      <rPr>
        <sz val="8"/>
        <rFont val="Times New Roman"/>
        <charset val="134"/>
      </rPr>
      <t>*0.55+</t>
    </r>
    <r>
      <rPr>
        <sz val="8"/>
        <rFont val="宋体"/>
        <charset val="134"/>
      </rPr>
      <t>③</t>
    </r>
    <r>
      <rPr>
        <sz val="8"/>
        <rFont val="Times New Roman"/>
        <charset val="134"/>
      </rPr>
      <t>*0.09+</t>
    </r>
    <r>
      <rPr>
        <sz val="8"/>
        <rFont val="宋体"/>
        <charset val="134"/>
      </rPr>
      <t>④</t>
    </r>
    <r>
      <rPr>
        <sz val="8"/>
        <rFont val="Times New Roman"/>
        <charset val="134"/>
      </rPr>
      <t>*0.09)/(∑</t>
    </r>
    <r>
      <rPr>
        <sz val="8"/>
        <rFont val="宋体"/>
        <charset val="134"/>
      </rPr>
      <t>①</t>
    </r>
    <r>
      <rPr>
        <sz val="8"/>
        <rFont val="Times New Roman"/>
        <charset val="134"/>
      </rPr>
      <t>*0.27+∑</t>
    </r>
    <r>
      <rPr>
        <sz val="8"/>
        <rFont val="宋体"/>
        <charset val="134"/>
      </rPr>
      <t>②</t>
    </r>
    <r>
      <rPr>
        <sz val="8"/>
        <rFont val="Times New Roman"/>
        <charset val="134"/>
      </rPr>
      <t>*0.55+∑</t>
    </r>
    <r>
      <rPr>
        <sz val="8"/>
        <rFont val="宋体"/>
        <charset val="134"/>
      </rPr>
      <t>③</t>
    </r>
    <r>
      <rPr>
        <sz val="8"/>
        <rFont val="Times New Roman"/>
        <charset val="134"/>
      </rPr>
      <t>*0.09+∑</t>
    </r>
    <r>
      <rPr>
        <sz val="8"/>
        <rFont val="宋体"/>
        <charset val="134"/>
      </rPr>
      <t>④</t>
    </r>
    <r>
      <rPr>
        <sz val="8"/>
        <rFont val="Times New Roman"/>
        <charset val="134"/>
      </rPr>
      <t>*0.09</t>
    </r>
    <r>
      <rPr>
        <sz val="8"/>
        <rFont val="宋体"/>
        <charset val="134"/>
      </rPr>
      <t>）</t>
    </r>
  </si>
  <si>
    <r>
      <rPr>
        <sz val="8"/>
        <rFont val="Calibri"/>
        <charset val="134"/>
      </rPr>
      <t>⑤</t>
    </r>
    <r>
      <rPr>
        <sz val="8"/>
        <rFont val="Times New Roman"/>
        <charset val="134"/>
      </rPr>
      <t>*[0]</t>
    </r>
  </si>
  <si>
    <r>
      <rPr>
        <sz val="8"/>
        <rFont val="Calibri"/>
        <charset val="134"/>
      </rPr>
      <t>⑥</t>
    </r>
    <r>
      <rPr>
        <sz val="8"/>
        <rFont val="Times New Roman"/>
        <charset val="134"/>
      </rPr>
      <t>=(</t>
    </r>
    <r>
      <rPr>
        <sz val="8"/>
        <rFont val="Calibri"/>
        <charset val="134"/>
      </rPr>
      <t>⑤</t>
    </r>
    <r>
      <rPr>
        <sz val="8"/>
        <rFont val="Times New Roman"/>
        <charset val="134"/>
      </rPr>
      <t>*[0]</t>
    </r>
    <r>
      <rPr>
        <sz val="8"/>
        <rFont val="宋体"/>
        <charset val="134"/>
      </rPr>
      <t>）</t>
    </r>
    <r>
      <rPr>
        <sz val="8"/>
        <rFont val="Times New Roman"/>
        <charset val="134"/>
      </rPr>
      <t>/∑(</t>
    </r>
    <r>
      <rPr>
        <sz val="8"/>
        <rFont val="Calibri"/>
        <charset val="134"/>
      </rPr>
      <t>⑤</t>
    </r>
    <r>
      <rPr>
        <sz val="8"/>
        <rFont val="Times New Roman"/>
        <charset val="134"/>
      </rPr>
      <t>*[0]</t>
    </r>
    <r>
      <rPr>
        <sz val="8"/>
        <rFont val="宋体"/>
        <charset val="134"/>
      </rPr>
      <t>）</t>
    </r>
  </si>
  <si>
    <r>
      <rPr>
        <sz val="8"/>
        <rFont val="Times New Roman"/>
        <charset val="134"/>
      </rPr>
      <t>[4]=</t>
    </r>
    <r>
      <rPr>
        <sz val="8"/>
        <rFont val="宋体"/>
        <charset val="134"/>
      </rPr>
      <t>（</t>
    </r>
    <r>
      <rPr>
        <sz val="8"/>
        <rFont val="Times New Roman"/>
        <charset val="134"/>
      </rPr>
      <t>1329.42</t>
    </r>
    <r>
      <rPr>
        <sz val="8"/>
        <rFont val="宋体"/>
        <charset val="134"/>
      </rPr>
      <t>）</t>
    </r>
    <r>
      <rPr>
        <sz val="8"/>
        <rFont val="Times New Roman"/>
        <charset val="134"/>
      </rPr>
      <t>*</t>
    </r>
    <r>
      <rPr>
        <sz val="8"/>
        <rFont val="宋体"/>
        <charset val="134"/>
      </rPr>
      <t>⑥</t>
    </r>
  </si>
  <si>
    <t>⑤</t>
  </si>
  <si>
    <t>⑥</t>
  </si>
  <si>
    <r>
      <rPr>
        <sz val="8"/>
        <rFont val="宋体"/>
        <charset val="134"/>
      </rPr>
      <t>⑦</t>
    </r>
    <r>
      <rPr>
        <sz val="8"/>
        <rFont val="Times New Roman"/>
        <charset val="134"/>
      </rPr>
      <t>=(</t>
    </r>
    <r>
      <rPr>
        <sz val="8"/>
        <rFont val="Calibri"/>
        <charset val="134"/>
      </rPr>
      <t>①</t>
    </r>
    <r>
      <rPr>
        <sz val="8"/>
        <rFont val="Times New Roman"/>
        <charset val="134"/>
      </rPr>
      <t>*0.01+</t>
    </r>
    <r>
      <rPr>
        <sz val="8"/>
        <rFont val="Calibri"/>
        <charset val="134"/>
      </rPr>
      <t>②</t>
    </r>
    <r>
      <rPr>
        <sz val="8"/>
        <rFont val="Times New Roman"/>
        <charset val="134"/>
      </rPr>
      <t>*0.0029+</t>
    </r>
    <r>
      <rPr>
        <sz val="8"/>
        <rFont val="Calibri"/>
        <charset val="134"/>
      </rPr>
      <t>③</t>
    </r>
    <r>
      <rPr>
        <sz val="8"/>
        <rFont val="Times New Roman"/>
        <charset val="134"/>
      </rPr>
      <t>*0.1+</t>
    </r>
    <r>
      <rPr>
        <sz val="8"/>
        <rFont val="宋体"/>
        <charset val="134"/>
      </rPr>
      <t>④</t>
    </r>
    <r>
      <rPr>
        <sz val="8"/>
        <rFont val="Times New Roman"/>
        <charset val="134"/>
      </rPr>
      <t>*2+</t>
    </r>
    <r>
      <rPr>
        <sz val="8"/>
        <rFont val="宋体"/>
        <charset val="134"/>
      </rPr>
      <t>⑤</t>
    </r>
    <r>
      <rPr>
        <sz val="8"/>
        <rFont val="Times New Roman"/>
        <charset val="134"/>
      </rPr>
      <t>*5+</t>
    </r>
    <r>
      <rPr>
        <sz val="8"/>
        <rFont val="宋体"/>
        <charset val="134"/>
      </rPr>
      <t>⑥</t>
    </r>
    <r>
      <rPr>
        <sz val="8"/>
        <rFont val="Times New Roman"/>
        <charset val="134"/>
      </rPr>
      <t>*2)/203.7</t>
    </r>
  </si>
  <si>
    <r>
      <rPr>
        <sz val="8"/>
        <rFont val="Calibri"/>
        <charset val="134"/>
      </rPr>
      <t>⑦</t>
    </r>
    <r>
      <rPr>
        <sz val="8"/>
        <rFont val="Times New Roman"/>
        <charset val="134"/>
      </rPr>
      <t>*[0]</t>
    </r>
  </si>
  <si>
    <r>
      <rPr>
        <sz val="8"/>
        <rFont val="Calibri"/>
        <charset val="134"/>
      </rPr>
      <t>⑧</t>
    </r>
    <r>
      <rPr>
        <sz val="8"/>
        <rFont val="Times New Roman"/>
        <charset val="134"/>
      </rPr>
      <t>=(</t>
    </r>
    <r>
      <rPr>
        <sz val="8"/>
        <rFont val="Calibri"/>
        <charset val="134"/>
      </rPr>
      <t>⑦</t>
    </r>
    <r>
      <rPr>
        <sz val="8"/>
        <rFont val="Times New Roman"/>
        <charset val="134"/>
      </rPr>
      <t>*[0])/∑(</t>
    </r>
    <r>
      <rPr>
        <sz val="8"/>
        <rFont val="Calibri"/>
        <charset val="134"/>
      </rPr>
      <t>⑦</t>
    </r>
    <r>
      <rPr>
        <sz val="8"/>
        <rFont val="Times New Roman"/>
        <charset val="134"/>
      </rPr>
      <t>*[0])</t>
    </r>
  </si>
  <si>
    <r>
      <rPr>
        <sz val="8"/>
        <rFont val="Times New Roman"/>
        <charset val="134"/>
      </rPr>
      <t>[5-1]=203.7*</t>
    </r>
    <r>
      <rPr>
        <sz val="8"/>
        <rFont val="宋体"/>
        <charset val="134"/>
      </rPr>
      <t>⑧</t>
    </r>
  </si>
  <si>
    <t>⑨</t>
  </si>
  <si>
    <r>
      <rPr>
        <sz val="8"/>
        <rFont val="宋体"/>
        <charset val="134"/>
      </rPr>
      <t>⑩</t>
    </r>
    <r>
      <rPr>
        <sz val="8"/>
        <rFont val="Times New Roman"/>
        <charset val="134"/>
      </rPr>
      <t>=</t>
    </r>
    <r>
      <rPr>
        <sz val="8"/>
        <rFont val="宋体"/>
        <charset val="134"/>
      </rPr>
      <t>（⑨</t>
    </r>
    <r>
      <rPr>
        <sz val="8"/>
        <rFont val="Times New Roman"/>
        <charset val="134"/>
      </rPr>
      <t>*5.026</t>
    </r>
    <r>
      <rPr>
        <sz val="8"/>
        <rFont val="宋体"/>
        <charset val="134"/>
      </rPr>
      <t>）</t>
    </r>
    <r>
      <rPr>
        <sz val="8"/>
        <rFont val="Times New Roman"/>
        <charset val="134"/>
      </rPr>
      <t>/95.5</t>
    </r>
  </si>
  <si>
    <r>
      <rPr>
        <sz val="8"/>
        <rFont val="Times New Roman"/>
        <charset val="134"/>
      </rPr>
      <t>[5-2]=</t>
    </r>
    <r>
      <rPr>
        <sz val="8"/>
        <rFont val="宋体"/>
        <charset val="134"/>
      </rPr>
      <t>⑩</t>
    </r>
    <r>
      <rPr>
        <sz val="8"/>
        <rFont val="Times New Roman"/>
        <charset val="134"/>
      </rPr>
      <t>*95.5</t>
    </r>
  </si>
  <si>
    <t>[5]=[5-1]+[5-2]</t>
  </si>
  <si>
    <t>一</t>
  </si>
  <si>
    <t>二</t>
  </si>
  <si>
    <t>三</t>
  </si>
  <si>
    <t>四</t>
  </si>
  <si>
    <t>五</t>
  </si>
  <si>
    <t>六</t>
  </si>
  <si>
    <t>七</t>
  </si>
  <si>
    <t>八</t>
  </si>
  <si>
    <t>九</t>
  </si>
  <si>
    <t>十</t>
  </si>
  <si>
    <r>
      <rPr>
        <sz val="8"/>
        <rFont val="宋体"/>
        <charset val="134"/>
      </rPr>
      <t>十一</t>
    </r>
    <r>
      <rPr>
        <sz val="8"/>
        <rFont val="Times New Roman"/>
        <charset val="134"/>
      </rPr>
      <t xml:space="preserve">
=</t>
    </r>
    <r>
      <rPr>
        <sz val="8"/>
        <rFont val="宋体"/>
        <charset val="134"/>
      </rPr>
      <t>（测算</t>
    </r>
    <r>
      <rPr>
        <sz val="8"/>
        <rFont val="Times New Roman"/>
        <charset val="134"/>
      </rPr>
      <t>/300.49</t>
    </r>
    <r>
      <rPr>
        <sz val="8"/>
        <rFont val="宋体"/>
        <charset val="134"/>
      </rPr>
      <t>）</t>
    </r>
  </si>
  <si>
    <r>
      <rPr>
        <sz val="8"/>
        <rFont val="Times New Roman"/>
        <charset val="134"/>
      </rPr>
      <t>(</t>
    </r>
    <r>
      <rPr>
        <sz val="8"/>
        <rFont val="宋体"/>
        <charset val="134"/>
      </rPr>
      <t>十一</t>
    </r>
    <r>
      <rPr>
        <sz val="8"/>
        <rFont val="Times New Roman"/>
        <charset val="134"/>
      </rPr>
      <t>)*[0]</t>
    </r>
  </si>
  <si>
    <r>
      <rPr>
        <sz val="8"/>
        <rFont val="宋体"/>
        <charset val="134"/>
      </rPr>
      <t>十二</t>
    </r>
    <r>
      <rPr>
        <sz val="8"/>
        <rFont val="Times New Roman"/>
        <charset val="134"/>
      </rPr>
      <t xml:space="preserve">
=</t>
    </r>
    <r>
      <rPr>
        <sz val="8"/>
        <rFont val="宋体"/>
        <charset val="134"/>
      </rPr>
      <t>（</t>
    </r>
    <r>
      <rPr>
        <sz val="8"/>
        <rFont val="Times New Roman"/>
        <charset val="134"/>
      </rPr>
      <t>(</t>
    </r>
    <r>
      <rPr>
        <sz val="8"/>
        <rFont val="宋体"/>
        <charset val="134"/>
      </rPr>
      <t>十一</t>
    </r>
    <r>
      <rPr>
        <sz val="8"/>
        <rFont val="Times New Roman"/>
        <charset val="134"/>
      </rPr>
      <t>)*[0]</t>
    </r>
    <r>
      <rPr>
        <sz val="8"/>
        <rFont val="宋体"/>
        <charset val="134"/>
      </rPr>
      <t>）</t>
    </r>
    <r>
      <rPr>
        <sz val="8"/>
        <rFont val="Times New Roman"/>
        <charset val="134"/>
      </rPr>
      <t>/∑</t>
    </r>
    <r>
      <rPr>
        <sz val="8"/>
        <rFont val="宋体"/>
        <charset val="134"/>
      </rPr>
      <t>（</t>
    </r>
    <r>
      <rPr>
        <sz val="8"/>
        <rFont val="Times New Roman"/>
        <charset val="134"/>
      </rPr>
      <t>(</t>
    </r>
    <r>
      <rPr>
        <sz val="8"/>
        <rFont val="宋体"/>
        <charset val="134"/>
      </rPr>
      <t>十一</t>
    </r>
    <r>
      <rPr>
        <sz val="8"/>
        <rFont val="Times New Roman"/>
        <charset val="134"/>
      </rPr>
      <t>)*[0]</t>
    </r>
    <r>
      <rPr>
        <sz val="8"/>
        <rFont val="宋体"/>
        <charset val="134"/>
      </rPr>
      <t>）</t>
    </r>
  </si>
  <si>
    <r>
      <rPr>
        <sz val="8"/>
        <rFont val="Times New Roman"/>
        <charset val="134"/>
      </rPr>
      <t>[6]=</t>
    </r>
    <r>
      <rPr>
        <sz val="8"/>
        <rFont val="宋体"/>
        <charset val="134"/>
      </rPr>
      <t>（</t>
    </r>
    <r>
      <rPr>
        <sz val="8"/>
        <rFont val="Times New Roman"/>
        <charset val="134"/>
      </rPr>
      <t>188.45</t>
    </r>
    <r>
      <rPr>
        <sz val="8"/>
        <rFont val="宋体"/>
        <charset val="134"/>
      </rPr>
      <t>）</t>
    </r>
    <r>
      <rPr>
        <sz val="8"/>
        <rFont val="Times New Roman"/>
        <charset val="134"/>
      </rPr>
      <t>*</t>
    </r>
    <r>
      <rPr>
        <sz val="8"/>
        <rFont val="宋体"/>
        <charset val="134"/>
      </rPr>
      <t>（十二）</t>
    </r>
  </si>
  <si>
    <r>
      <rPr>
        <sz val="8"/>
        <rFont val="Calibri"/>
        <charset val="134"/>
      </rPr>
      <t>③</t>
    </r>
    <r>
      <rPr>
        <sz val="8"/>
        <rFont val="Times New Roman"/>
        <charset val="134"/>
      </rPr>
      <t>=(</t>
    </r>
    <r>
      <rPr>
        <sz val="8"/>
        <rFont val="Calibri"/>
        <charset val="134"/>
      </rPr>
      <t>①</t>
    </r>
    <r>
      <rPr>
        <sz val="8"/>
        <rFont val="Times New Roman"/>
        <charset val="134"/>
      </rPr>
      <t>*0.0364*12+</t>
    </r>
    <r>
      <rPr>
        <sz val="8"/>
        <rFont val="Calibri"/>
        <charset val="134"/>
      </rPr>
      <t>②</t>
    </r>
    <r>
      <rPr>
        <sz val="8"/>
        <rFont val="Times New Roman"/>
        <charset val="134"/>
      </rPr>
      <t>*0.0016)/466.75</t>
    </r>
  </si>
  <si>
    <r>
      <rPr>
        <sz val="8"/>
        <rFont val="Calibri"/>
        <charset val="134"/>
      </rPr>
      <t>④</t>
    </r>
    <r>
      <rPr>
        <sz val="8"/>
        <rFont val="Times New Roman"/>
        <charset val="134"/>
      </rPr>
      <t>=(</t>
    </r>
    <r>
      <rPr>
        <sz val="8"/>
        <rFont val="Calibri"/>
        <charset val="134"/>
      </rPr>
      <t>③</t>
    </r>
    <r>
      <rPr>
        <sz val="8"/>
        <rFont val="Times New Roman"/>
        <charset val="134"/>
      </rPr>
      <t>*[0])/∑(</t>
    </r>
    <r>
      <rPr>
        <sz val="8"/>
        <rFont val="Calibri"/>
        <charset val="134"/>
      </rPr>
      <t>③</t>
    </r>
    <r>
      <rPr>
        <sz val="8"/>
        <rFont val="Times New Roman"/>
        <charset val="134"/>
      </rPr>
      <t>*[0])</t>
    </r>
  </si>
  <si>
    <r>
      <rPr>
        <sz val="8"/>
        <rFont val="Times New Roman"/>
        <charset val="134"/>
      </rPr>
      <t>[7]=</t>
    </r>
    <r>
      <rPr>
        <sz val="8"/>
        <rFont val="宋体"/>
        <charset val="134"/>
      </rPr>
      <t>（</t>
    </r>
    <r>
      <rPr>
        <sz val="8"/>
        <rFont val="Times New Roman"/>
        <charset val="134"/>
      </rPr>
      <t>193.8</t>
    </r>
    <r>
      <rPr>
        <sz val="8"/>
        <rFont val="宋体"/>
        <charset val="134"/>
      </rPr>
      <t>）</t>
    </r>
    <r>
      <rPr>
        <sz val="8"/>
        <rFont val="Times New Roman"/>
        <charset val="134"/>
      </rPr>
      <t>*</t>
    </r>
    <r>
      <rPr>
        <sz val="8"/>
        <rFont val="宋体"/>
        <charset val="134"/>
      </rPr>
      <t>④</t>
    </r>
  </si>
  <si>
    <r>
      <rPr>
        <sz val="8"/>
        <rFont val="宋体"/>
        <charset val="134"/>
      </rPr>
      <t>市：</t>
    </r>
    <r>
      <rPr>
        <sz val="8"/>
        <rFont val="Calibri"/>
        <charset val="134"/>
      </rPr>
      <t>⑦</t>
    </r>
    <r>
      <rPr>
        <sz val="8"/>
        <rFont val="Times New Roman"/>
        <charset val="134"/>
      </rPr>
      <t>=</t>
    </r>
    <r>
      <rPr>
        <sz val="8"/>
        <rFont val="宋体"/>
        <charset val="134"/>
      </rPr>
      <t>（</t>
    </r>
    <r>
      <rPr>
        <sz val="8"/>
        <rFont val="Calibri"/>
        <charset val="134"/>
      </rPr>
      <t>①</t>
    </r>
    <r>
      <rPr>
        <sz val="8"/>
        <rFont val="Times New Roman"/>
        <charset val="134"/>
      </rPr>
      <t>*0.00089+</t>
    </r>
    <r>
      <rPr>
        <sz val="8"/>
        <rFont val="Calibri"/>
        <charset val="134"/>
      </rPr>
      <t>②</t>
    </r>
    <r>
      <rPr>
        <sz val="8"/>
        <rFont val="Times New Roman"/>
        <charset val="134"/>
      </rPr>
      <t>*0.025+</t>
    </r>
    <r>
      <rPr>
        <sz val="8"/>
        <rFont val="Calibri"/>
        <charset val="134"/>
      </rPr>
      <t>③</t>
    </r>
    <r>
      <rPr>
        <sz val="8"/>
        <rFont val="Times New Roman"/>
        <charset val="134"/>
      </rPr>
      <t>*0.08*2+</t>
    </r>
    <r>
      <rPr>
        <sz val="8"/>
        <rFont val="宋体"/>
        <charset val="134"/>
      </rPr>
      <t>④</t>
    </r>
    <r>
      <rPr>
        <sz val="8"/>
        <rFont val="Times New Roman"/>
        <charset val="134"/>
      </rPr>
      <t>*1.5+</t>
    </r>
    <r>
      <rPr>
        <sz val="8"/>
        <rFont val="Calibri"/>
        <charset val="134"/>
      </rPr>
      <t>⑤</t>
    </r>
    <r>
      <rPr>
        <sz val="8"/>
        <rFont val="Times New Roman"/>
        <charset val="134"/>
      </rPr>
      <t>*20+</t>
    </r>
    <r>
      <rPr>
        <sz val="8"/>
        <rFont val="Calibri"/>
        <charset val="134"/>
      </rPr>
      <t>⑥</t>
    </r>
    <r>
      <rPr>
        <sz val="8"/>
        <rFont val="Times New Roman"/>
        <charset val="134"/>
      </rPr>
      <t>*50</t>
    </r>
    <r>
      <rPr>
        <sz val="8"/>
        <rFont val="宋体"/>
        <charset val="134"/>
      </rPr>
      <t>）</t>
    </r>
    <r>
      <rPr>
        <sz val="8"/>
        <rFont val="Times New Roman"/>
        <charset val="134"/>
      </rPr>
      <t>/1289.41</t>
    </r>
    <r>
      <rPr>
        <sz val="8"/>
        <rFont val="宋体"/>
        <charset val="134"/>
      </rPr>
      <t>；</t>
    </r>
    <r>
      <rPr>
        <sz val="8"/>
        <rFont val="Times New Roman"/>
        <charset val="134"/>
      </rPr>
      <t xml:space="preserve">
</t>
    </r>
    <r>
      <rPr>
        <sz val="8"/>
        <rFont val="宋体"/>
        <charset val="134"/>
      </rPr>
      <t>县：</t>
    </r>
    <r>
      <rPr>
        <sz val="8"/>
        <rFont val="Calibri"/>
        <charset val="134"/>
      </rPr>
      <t>⑦</t>
    </r>
    <r>
      <rPr>
        <sz val="8"/>
        <rFont val="Times New Roman"/>
        <charset val="134"/>
      </rPr>
      <t>=</t>
    </r>
    <r>
      <rPr>
        <sz val="8"/>
        <rFont val="Calibri"/>
        <charset val="134"/>
      </rPr>
      <t>①</t>
    </r>
    <r>
      <rPr>
        <sz val="8"/>
        <rFont val="Times New Roman"/>
        <charset val="134"/>
      </rPr>
      <t>*0.00089+</t>
    </r>
    <r>
      <rPr>
        <sz val="8"/>
        <rFont val="Calibri"/>
        <charset val="134"/>
      </rPr>
      <t>②</t>
    </r>
    <r>
      <rPr>
        <sz val="8"/>
        <rFont val="Times New Roman"/>
        <charset val="134"/>
      </rPr>
      <t>*0.025+</t>
    </r>
    <r>
      <rPr>
        <sz val="8"/>
        <rFont val="Calibri"/>
        <charset val="134"/>
      </rPr>
      <t>③</t>
    </r>
    <r>
      <rPr>
        <sz val="8"/>
        <rFont val="Times New Roman"/>
        <charset val="134"/>
      </rPr>
      <t>*0.04+</t>
    </r>
    <r>
      <rPr>
        <sz val="8"/>
        <rFont val="宋体"/>
        <charset val="134"/>
      </rPr>
      <t>④</t>
    </r>
    <r>
      <rPr>
        <sz val="8"/>
        <rFont val="Times New Roman"/>
        <charset val="134"/>
      </rPr>
      <t>*1.5+</t>
    </r>
    <r>
      <rPr>
        <sz val="8"/>
        <rFont val="Calibri"/>
        <charset val="134"/>
      </rPr>
      <t>⑤</t>
    </r>
    <r>
      <rPr>
        <sz val="8"/>
        <rFont val="Times New Roman"/>
        <charset val="134"/>
      </rPr>
      <t>*20+</t>
    </r>
    <r>
      <rPr>
        <sz val="8"/>
        <rFont val="Calibri"/>
        <charset val="134"/>
      </rPr>
      <t>⑥</t>
    </r>
    <r>
      <rPr>
        <sz val="8"/>
        <rFont val="Times New Roman"/>
        <charset val="134"/>
      </rPr>
      <t>*50/1289.41</t>
    </r>
  </si>
  <si>
    <r>
      <rPr>
        <sz val="8"/>
        <rFont val="宋体"/>
        <charset val="134"/>
      </rPr>
      <t>⑦</t>
    </r>
    <r>
      <rPr>
        <sz val="8"/>
        <rFont val="Times New Roman"/>
        <charset val="134"/>
      </rPr>
      <t>*[0]</t>
    </r>
  </si>
  <si>
    <r>
      <rPr>
        <sz val="8"/>
        <rFont val="Times New Roman"/>
        <charset val="134"/>
      </rPr>
      <t>[8]=</t>
    </r>
    <r>
      <rPr>
        <sz val="8"/>
        <rFont val="宋体"/>
        <charset val="134"/>
      </rPr>
      <t>（</t>
    </r>
    <r>
      <rPr>
        <sz val="8"/>
        <rFont val="Times New Roman"/>
        <charset val="134"/>
      </rPr>
      <t>1309.5</t>
    </r>
    <r>
      <rPr>
        <sz val="8"/>
        <rFont val="宋体"/>
        <charset val="134"/>
      </rPr>
      <t>）</t>
    </r>
    <r>
      <rPr>
        <sz val="8"/>
        <rFont val="Times New Roman"/>
        <charset val="134"/>
      </rPr>
      <t>*</t>
    </r>
    <r>
      <rPr>
        <sz val="8"/>
        <rFont val="宋体"/>
        <charset val="134"/>
      </rPr>
      <t>⑧</t>
    </r>
    <r>
      <rPr>
        <sz val="8"/>
        <rFont val="Times New Roman"/>
        <charset val="134"/>
      </rPr>
      <t xml:space="preserve">
</t>
    </r>
    <r>
      <rPr>
        <sz val="8"/>
        <rFont val="宋体"/>
        <charset val="134"/>
      </rPr>
      <t>广州：</t>
    </r>
    <r>
      <rPr>
        <sz val="8"/>
        <rFont val="Times New Roman"/>
        <charset val="134"/>
      </rPr>
      <t>[8]=</t>
    </r>
    <r>
      <rPr>
        <sz val="8"/>
        <rFont val="宋体"/>
        <charset val="134"/>
      </rPr>
      <t>（</t>
    </r>
    <r>
      <rPr>
        <sz val="8"/>
        <rFont val="Times New Roman"/>
        <charset val="134"/>
      </rPr>
      <t>1309.5</t>
    </r>
    <r>
      <rPr>
        <sz val="8"/>
        <rFont val="宋体"/>
        <charset val="134"/>
      </rPr>
      <t>）</t>
    </r>
    <r>
      <rPr>
        <sz val="8"/>
        <rFont val="Times New Roman"/>
        <charset val="134"/>
      </rPr>
      <t>*</t>
    </r>
    <r>
      <rPr>
        <sz val="8"/>
        <rFont val="宋体"/>
        <charset val="134"/>
      </rPr>
      <t>⑧</t>
    </r>
    <r>
      <rPr>
        <sz val="8"/>
        <rFont val="Times New Roman"/>
        <charset val="134"/>
      </rPr>
      <t>+40</t>
    </r>
  </si>
  <si>
    <r>
      <rPr>
        <sz val="8"/>
        <rFont val="宋体"/>
        <charset val="134"/>
      </rPr>
      <t>开展伤害流行病学调查</t>
    </r>
    <r>
      <rPr>
        <sz val="8"/>
        <rFont val="Times New Roman"/>
        <charset val="134"/>
      </rPr>
      <t>8</t>
    </r>
    <r>
      <rPr>
        <sz val="8"/>
        <rFont val="宋体"/>
        <charset val="134"/>
      </rPr>
      <t>个市：⑦</t>
    </r>
    <r>
      <rPr>
        <sz val="8"/>
        <rFont val="Times New Roman"/>
        <charset val="134"/>
      </rPr>
      <t>=</t>
    </r>
    <r>
      <rPr>
        <sz val="8"/>
        <rFont val="宋体"/>
        <charset val="134"/>
      </rPr>
      <t>（①</t>
    </r>
    <r>
      <rPr>
        <sz val="8"/>
        <rFont val="Times New Roman"/>
        <charset val="134"/>
      </rPr>
      <t>*15+</t>
    </r>
    <r>
      <rPr>
        <sz val="8"/>
        <rFont val="宋体"/>
        <charset val="134"/>
      </rPr>
      <t>（②</t>
    </r>
    <r>
      <rPr>
        <sz val="8"/>
        <rFont val="Times New Roman"/>
        <charset val="134"/>
      </rPr>
      <t>-1</t>
    </r>
    <r>
      <rPr>
        <sz val="8"/>
        <rFont val="宋体"/>
        <charset val="134"/>
      </rPr>
      <t>）</t>
    </r>
    <r>
      <rPr>
        <sz val="8"/>
        <rFont val="Times New Roman"/>
        <charset val="134"/>
      </rPr>
      <t>*1+</t>
    </r>
    <r>
      <rPr>
        <sz val="8"/>
        <rFont val="宋体"/>
        <charset val="134"/>
      </rPr>
      <t>③</t>
    </r>
    <r>
      <rPr>
        <sz val="8"/>
        <rFont val="Times New Roman"/>
        <charset val="134"/>
      </rPr>
      <t>*1+</t>
    </r>
    <r>
      <rPr>
        <sz val="8"/>
        <rFont val="宋体"/>
        <charset val="134"/>
      </rPr>
      <t>④</t>
    </r>
    <r>
      <rPr>
        <sz val="8"/>
        <rFont val="Times New Roman"/>
        <charset val="134"/>
      </rPr>
      <t>*8+</t>
    </r>
    <r>
      <rPr>
        <sz val="8"/>
        <rFont val="宋体"/>
        <charset val="134"/>
      </rPr>
      <t>⑤</t>
    </r>
    <r>
      <rPr>
        <sz val="8"/>
        <rFont val="Times New Roman"/>
        <charset val="134"/>
      </rPr>
      <t>*20+</t>
    </r>
    <r>
      <rPr>
        <sz val="8"/>
        <rFont val="宋体"/>
        <charset val="134"/>
      </rPr>
      <t>⑥</t>
    </r>
    <r>
      <rPr>
        <sz val="8"/>
        <rFont val="Times New Roman"/>
        <charset val="134"/>
      </rPr>
      <t>*5</t>
    </r>
    <r>
      <rPr>
        <sz val="8"/>
        <rFont val="宋体"/>
        <charset val="134"/>
      </rPr>
      <t>）</t>
    </r>
    <r>
      <rPr>
        <sz val="8"/>
        <rFont val="Times New Roman"/>
        <charset val="134"/>
      </rPr>
      <t>/580</t>
    </r>
    <r>
      <rPr>
        <sz val="8"/>
        <rFont val="宋体"/>
        <charset val="134"/>
      </rPr>
      <t>；</t>
    </r>
    <r>
      <rPr>
        <sz val="8"/>
        <rFont val="Times New Roman"/>
        <charset val="134"/>
      </rPr>
      <t xml:space="preserve">
</t>
    </r>
    <r>
      <rPr>
        <sz val="8"/>
        <rFont val="宋体"/>
        <charset val="134"/>
      </rPr>
      <t>市：⑦</t>
    </r>
    <r>
      <rPr>
        <sz val="8"/>
        <rFont val="Times New Roman"/>
        <charset val="134"/>
      </rPr>
      <t>=</t>
    </r>
    <r>
      <rPr>
        <sz val="8"/>
        <rFont val="宋体"/>
        <charset val="134"/>
      </rPr>
      <t>（</t>
    </r>
    <r>
      <rPr>
        <sz val="8"/>
        <rFont val="Calibri"/>
        <charset val="134"/>
      </rPr>
      <t>①</t>
    </r>
    <r>
      <rPr>
        <sz val="8"/>
        <rFont val="Times New Roman"/>
        <charset val="134"/>
      </rPr>
      <t>*15+</t>
    </r>
    <r>
      <rPr>
        <sz val="8"/>
        <rFont val="Calibri"/>
        <charset val="134"/>
      </rPr>
      <t>②</t>
    </r>
    <r>
      <rPr>
        <sz val="8"/>
        <rFont val="Times New Roman"/>
        <charset val="134"/>
      </rPr>
      <t>*1+</t>
    </r>
    <r>
      <rPr>
        <sz val="8"/>
        <rFont val="Calibri"/>
        <charset val="134"/>
      </rPr>
      <t>③</t>
    </r>
    <r>
      <rPr>
        <sz val="8"/>
        <rFont val="Times New Roman"/>
        <charset val="134"/>
      </rPr>
      <t>*1+</t>
    </r>
    <r>
      <rPr>
        <sz val="8"/>
        <rFont val="宋体"/>
        <charset val="134"/>
      </rPr>
      <t>④</t>
    </r>
    <r>
      <rPr>
        <sz val="8"/>
        <rFont val="Times New Roman"/>
        <charset val="134"/>
      </rPr>
      <t>*8+</t>
    </r>
    <r>
      <rPr>
        <sz val="8"/>
        <rFont val="宋体"/>
        <charset val="134"/>
      </rPr>
      <t>⑤</t>
    </r>
    <r>
      <rPr>
        <sz val="8"/>
        <rFont val="Times New Roman"/>
        <charset val="134"/>
      </rPr>
      <t>*20</t>
    </r>
    <r>
      <rPr>
        <sz val="8"/>
        <rFont val="宋体"/>
        <charset val="134"/>
      </rPr>
      <t>）</t>
    </r>
    <r>
      <rPr>
        <sz val="8"/>
        <rFont val="Times New Roman"/>
        <charset val="134"/>
      </rPr>
      <t>/580</t>
    </r>
    <r>
      <rPr>
        <sz val="8"/>
        <rFont val="宋体"/>
        <charset val="134"/>
      </rPr>
      <t>；</t>
    </r>
    <r>
      <rPr>
        <sz val="8"/>
        <rFont val="Times New Roman"/>
        <charset val="134"/>
      </rPr>
      <t xml:space="preserve">
</t>
    </r>
    <r>
      <rPr>
        <sz val="8"/>
        <rFont val="宋体"/>
        <charset val="134"/>
      </rPr>
      <t>县：⑦</t>
    </r>
    <r>
      <rPr>
        <sz val="8"/>
        <rFont val="Times New Roman"/>
        <charset val="134"/>
      </rPr>
      <t>=</t>
    </r>
    <r>
      <rPr>
        <sz val="8"/>
        <rFont val="宋体"/>
        <charset val="134"/>
      </rPr>
      <t>（①</t>
    </r>
    <r>
      <rPr>
        <sz val="8"/>
        <rFont val="Times New Roman"/>
        <charset val="134"/>
      </rPr>
      <t>*15+</t>
    </r>
    <r>
      <rPr>
        <sz val="8"/>
        <rFont val="宋体"/>
        <charset val="134"/>
      </rPr>
      <t>②</t>
    </r>
    <r>
      <rPr>
        <sz val="8"/>
        <rFont val="Times New Roman"/>
        <charset val="134"/>
      </rPr>
      <t>*3+</t>
    </r>
    <r>
      <rPr>
        <sz val="8"/>
        <rFont val="宋体"/>
        <charset val="134"/>
      </rPr>
      <t>③</t>
    </r>
    <r>
      <rPr>
        <sz val="8"/>
        <rFont val="Times New Roman"/>
        <charset val="134"/>
      </rPr>
      <t>*1+</t>
    </r>
    <r>
      <rPr>
        <sz val="8"/>
        <rFont val="宋体"/>
        <charset val="134"/>
      </rPr>
      <t>④</t>
    </r>
    <r>
      <rPr>
        <sz val="8"/>
        <rFont val="Times New Roman"/>
        <charset val="134"/>
      </rPr>
      <t>*8+</t>
    </r>
    <r>
      <rPr>
        <sz val="8"/>
        <rFont val="宋体"/>
        <charset val="134"/>
      </rPr>
      <t>⑤</t>
    </r>
    <r>
      <rPr>
        <sz val="8"/>
        <rFont val="Times New Roman"/>
        <charset val="134"/>
      </rPr>
      <t>*20</t>
    </r>
    <r>
      <rPr>
        <sz val="8"/>
        <rFont val="宋体"/>
        <charset val="134"/>
      </rPr>
      <t>）</t>
    </r>
    <r>
      <rPr>
        <sz val="8"/>
        <rFont val="Times New Roman"/>
        <charset val="134"/>
      </rPr>
      <t>/580</t>
    </r>
  </si>
  <si>
    <r>
      <rPr>
        <sz val="8"/>
        <rFont val="Times New Roman"/>
        <charset val="134"/>
      </rPr>
      <t>[9-1]=</t>
    </r>
    <r>
      <rPr>
        <sz val="8"/>
        <rFont val="宋体"/>
        <charset val="134"/>
      </rPr>
      <t>（</t>
    </r>
    <r>
      <rPr>
        <sz val="8"/>
        <rFont val="Times New Roman"/>
        <charset val="134"/>
      </rPr>
      <t>580</t>
    </r>
    <r>
      <rPr>
        <sz val="8"/>
        <rFont val="宋体"/>
        <charset val="134"/>
      </rPr>
      <t>）</t>
    </r>
    <r>
      <rPr>
        <sz val="8"/>
        <rFont val="Times New Roman"/>
        <charset val="134"/>
      </rPr>
      <t>*</t>
    </r>
    <r>
      <rPr>
        <sz val="8"/>
        <rFont val="宋体"/>
        <charset val="134"/>
      </rPr>
      <t>⑨</t>
    </r>
  </si>
  <si>
    <r>
      <rPr>
        <sz val="8"/>
        <rFont val="宋体"/>
        <charset val="134"/>
      </rPr>
      <t>③</t>
    </r>
    <r>
      <rPr>
        <sz val="8"/>
        <rFont val="Times New Roman"/>
        <charset val="134"/>
      </rPr>
      <t>=</t>
    </r>
    <r>
      <rPr>
        <sz val="8"/>
        <rFont val="宋体"/>
        <charset val="134"/>
      </rPr>
      <t>（①</t>
    </r>
    <r>
      <rPr>
        <sz val="8"/>
        <rFont val="Times New Roman"/>
        <charset val="134"/>
      </rPr>
      <t>/∑</t>
    </r>
    <r>
      <rPr>
        <sz val="8"/>
        <rFont val="宋体"/>
        <charset val="134"/>
      </rPr>
      <t>①</t>
    </r>
    <r>
      <rPr>
        <sz val="8"/>
        <rFont val="Times New Roman"/>
        <charset val="134"/>
      </rPr>
      <t>*0.0035+</t>
    </r>
    <r>
      <rPr>
        <sz val="8"/>
        <rFont val="宋体"/>
        <charset val="134"/>
      </rPr>
      <t>②</t>
    </r>
    <r>
      <rPr>
        <sz val="8"/>
        <rFont val="Times New Roman"/>
        <charset val="134"/>
      </rPr>
      <t>/∑</t>
    </r>
    <r>
      <rPr>
        <sz val="8"/>
        <rFont val="宋体"/>
        <charset val="134"/>
      </rPr>
      <t>②</t>
    </r>
    <r>
      <rPr>
        <sz val="8"/>
        <rFont val="Times New Roman"/>
        <charset val="134"/>
      </rPr>
      <t>*0.003</t>
    </r>
    <r>
      <rPr>
        <sz val="8"/>
        <rFont val="宋体"/>
        <charset val="134"/>
      </rPr>
      <t>）</t>
    </r>
    <r>
      <rPr>
        <sz val="8"/>
        <rFont val="Times New Roman"/>
        <charset val="134"/>
      </rPr>
      <t>/148</t>
    </r>
  </si>
  <si>
    <r>
      <rPr>
        <sz val="8"/>
        <rFont val="宋体"/>
        <charset val="134"/>
      </rPr>
      <t>③</t>
    </r>
    <r>
      <rPr>
        <sz val="8"/>
        <rFont val="Times New Roman"/>
        <charset val="134"/>
      </rPr>
      <t>*[0]</t>
    </r>
  </si>
  <si>
    <r>
      <rPr>
        <sz val="8"/>
        <rFont val="宋体"/>
        <charset val="134"/>
      </rPr>
      <t>④</t>
    </r>
    <r>
      <rPr>
        <sz val="8"/>
        <rFont val="Times New Roman"/>
        <charset val="134"/>
      </rPr>
      <t>=</t>
    </r>
    <r>
      <rPr>
        <sz val="8"/>
        <rFont val="宋体"/>
        <charset val="134"/>
      </rPr>
      <t>（③</t>
    </r>
    <r>
      <rPr>
        <sz val="8"/>
        <rFont val="Times New Roman"/>
        <charset val="134"/>
      </rPr>
      <t>*[0]</t>
    </r>
    <r>
      <rPr>
        <sz val="8"/>
        <rFont val="宋体"/>
        <charset val="134"/>
      </rPr>
      <t>）</t>
    </r>
    <r>
      <rPr>
        <sz val="8"/>
        <rFont val="Times New Roman"/>
        <charset val="134"/>
      </rPr>
      <t>/∑</t>
    </r>
    <r>
      <rPr>
        <sz val="8"/>
        <rFont val="宋体"/>
        <charset val="134"/>
      </rPr>
      <t>（③</t>
    </r>
    <r>
      <rPr>
        <sz val="8"/>
        <rFont val="Times New Roman"/>
        <charset val="134"/>
      </rPr>
      <t>*[0]</t>
    </r>
    <r>
      <rPr>
        <sz val="8"/>
        <rFont val="宋体"/>
        <charset val="134"/>
      </rPr>
      <t>）</t>
    </r>
  </si>
  <si>
    <r>
      <rPr>
        <sz val="8"/>
        <rFont val="Times New Roman"/>
        <charset val="134"/>
      </rPr>
      <t>[9-2]=</t>
    </r>
    <r>
      <rPr>
        <sz val="8"/>
        <rFont val="宋体"/>
        <charset val="134"/>
      </rPr>
      <t>（</t>
    </r>
    <r>
      <rPr>
        <sz val="8"/>
        <rFont val="Times New Roman"/>
        <charset val="134"/>
      </rPr>
      <t>125</t>
    </r>
    <r>
      <rPr>
        <sz val="8"/>
        <rFont val="宋体"/>
        <charset val="134"/>
      </rPr>
      <t>）</t>
    </r>
    <r>
      <rPr>
        <sz val="8"/>
        <rFont val="Times New Roman"/>
        <charset val="134"/>
      </rPr>
      <t>*</t>
    </r>
    <r>
      <rPr>
        <sz val="8"/>
        <rFont val="宋体"/>
        <charset val="134"/>
      </rPr>
      <t>④</t>
    </r>
  </si>
  <si>
    <t>[9-3]</t>
  </si>
  <si>
    <r>
      <rPr>
        <sz val="8"/>
        <rFont val="Times New Roman"/>
        <charset val="134"/>
      </rPr>
      <t xml:space="preserve">[9]=[9-1]+[9-2]+[9-3]
</t>
    </r>
    <r>
      <rPr>
        <sz val="8"/>
        <rFont val="宋体"/>
        <charset val="134"/>
      </rPr>
      <t>广州：</t>
    </r>
    <r>
      <rPr>
        <sz val="8"/>
        <rFont val="Times New Roman"/>
        <charset val="134"/>
      </rPr>
      <t>[9]=[9-1]+[9-2]+[9-3]+80</t>
    </r>
  </si>
  <si>
    <r>
      <rPr>
        <sz val="8"/>
        <rFont val="宋体"/>
        <charset val="134"/>
      </rPr>
      <t>⑤</t>
    </r>
    <r>
      <rPr>
        <sz val="8"/>
        <rFont val="Times New Roman"/>
        <charset val="134"/>
      </rPr>
      <t>=</t>
    </r>
    <r>
      <rPr>
        <sz val="8"/>
        <rFont val="宋体"/>
        <charset val="134"/>
      </rPr>
      <t>①</t>
    </r>
    <r>
      <rPr>
        <sz val="8"/>
        <rFont val="Times New Roman"/>
        <charset val="134"/>
      </rPr>
      <t>/∑</t>
    </r>
    <r>
      <rPr>
        <sz val="8"/>
        <rFont val="宋体"/>
        <charset val="134"/>
      </rPr>
      <t>①</t>
    </r>
    <r>
      <rPr>
        <sz val="8"/>
        <rFont val="Times New Roman"/>
        <charset val="134"/>
      </rPr>
      <t>*0.04+</t>
    </r>
    <r>
      <rPr>
        <sz val="8"/>
        <rFont val="宋体"/>
        <charset val="134"/>
      </rPr>
      <t>②</t>
    </r>
    <r>
      <rPr>
        <sz val="8"/>
        <rFont val="Times New Roman"/>
        <charset val="134"/>
      </rPr>
      <t>/∑</t>
    </r>
    <r>
      <rPr>
        <sz val="8"/>
        <rFont val="宋体"/>
        <charset val="134"/>
      </rPr>
      <t>②</t>
    </r>
    <r>
      <rPr>
        <sz val="8"/>
        <rFont val="Times New Roman"/>
        <charset val="134"/>
      </rPr>
      <t>*0.04+</t>
    </r>
    <r>
      <rPr>
        <sz val="8"/>
        <rFont val="宋体"/>
        <charset val="134"/>
      </rPr>
      <t>③</t>
    </r>
    <r>
      <rPr>
        <sz val="8"/>
        <rFont val="Times New Roman"/>
        <charset val="134"/>
      </rPr>
      <t>/∑</t>
    </r>
    <r>
      <rPr>
        <sz val="8"/>
        <rFont val="宋体"/>
        <charset val="134"/>
      </rPr>
      <t>③</t>
    </r>
    <r>
      <rPr>
        <sz val="8"/>
        <rFont val="Times New Roman"/>
        <charset val="134"/>
      </rPr>
      <t>*0.04+</t>
    </r>
    <r>
      <rPr>
        <sz val="8"/>
        <rFont val="宋体"/>
        <charset val="134"/>
      </rPr>
      <t>④</t>
    </r>
    <r>
      <rPr>
        <sz val="8"/>
        <rFont val="Times New Roman"/>
        <charset val="134"/>
      </rPr>
      <t>/∑</t>
    </r>
    <r>
      <rPr>
        <sz val="8"/>
        <rFont val="宋体"/>
        <charset val="134"/>
      </rPr>
      <t>④</t>
    </r>
    <r>
      <rPr>
        <sz val="8"/>
        <rFont val="Times New Roman"/>
        <charset val="134"/>
      </rPr>
      <t>*0.88</t>
    </r>
  </si>
  <si>
    <r>
      <rPr>
        <sz val="8"/>
        <rFont val="宋体"/>
        <charset val="134"/>
      </rPr>
      <t>⑤</t>
    </r>
    <r>
      <rPr>
        <sz val="8"/>
        <rFont val="Times New Roman"/>
        <charset val="134"/>
      </rPr>
      <t>*[0]</t>
    </r>
  </si>
  <si>
    <r>
      <rPr>
        <sz val="8"/>
        <rFont val="Times New Roman"/>
        <charset val="134"/>
      </rPr>
      <t>[10]=</t>
    </r>
    <r>
      <rPr>
        <sz val="8"/>
        <rFont val="宋体"/>
        <charset val="134"/>
      </rPr>
      <t>（</t>
    </r>
    <r>
      <rPr>
        <sz val="8"/>
        <rFont val="Times New Roman"/>
        <charset val="134"/>
      </rPr>
      <t>759.15</t>
    </r>
    <r>
      <rPr>
        <sz val="8"/>
        <rFont val="宋体"/>
        <charset val="134"/>
      </rPr>
      <t>）</t>
    </r>
    <r>
      <rPr>
        <sz val="8"/>
        <rFont val="Times New Roman"/>
        <charset val="134"/>
      </rPr>
      <t>*</t>
    </r>
    <r>
      <rPr>
        <sz val="8"/>
        <rFont val="宋体"/>
        <charset val="134"/>
      </rPr>
      <t>⑥</t>
    </r>
  </si>
  <si>
    <r>
      <rPr>
        <sz val="8"/>
        <rFont val="Times New Roman"/>
        <charset val="134"/>
      </rPr>
      <t>[11]=</t>
    </r>
    <r>
      <rPr>
        <sz val="8"/>
        <rFont val="宋体"/>
        <charset val="134"/>
      </rPr>
      <t>（①</t>
    </r>
    <r>
      <rPr>
        <sz val="8"/>
        <rFont val="Times New Roman"/>
        <charset val="134"/>
      </rPr>
      <t>/∑</t>
    </r>
    <r>
      <rPr>
        <sz val="8"/>
        <rFont val="宋体"/>
        <charset val="134"/>
      </rPr>
      <t>①</t>
    </r>
    <r>
      <rPr>
        <sz val="8"/>
        <rFont val="Times New Roman"/>
        <charset val="134"/>
      </rPr>
      <t>*0.0035+</t>
    </r>
    <r>
      <rPr>
        <sz val="8"/>
        <rFont val="宋体"/>
        <charset val="134"/>
      </rPr>
      <t>②</t>
    </r>
    <r>
      <rPr>
        <sz val="8"/>
        <rFont val="Times New Roman"/>
        <charset val="134"/>
      </rPr>
      <t>/∑</t>
    </r>
    <r>
      <rPr>
        <sz val="8"/>
        <rFont val="宋体"/>
        <charset val="134"/>
      </rPr>
      <t>②</t>
    </r>
    <r>
      <rPr>
        <sz val="8"/>
        <rFont val="Times New Roman"/>
        <charset val="134"/>
      </rPr>
      <t>*0.003</t>
    </r>
    <r>
      <rPr>
        <sz val="8"/>
        <rFont val="宋体"/>
        <charset val="134"/>
      </rPr>
      <t>）</t>
    </r>
    <r>
      <rPr>
        <sz val="8"/>
        <rFont val="Times New Roman"/>
        <charset val="134"/>
      </rPr>
      <t>/135</t>
    </r>
  </si>
  <si>
    <t>[12]</t>
  </si>
  <si>
    <t>[13]</t>
  </si>
  <si>
    <r>
      <rPr>
        <sz val="8"/>
        <rFont val="宋体"/>
        <charset val="134"/>
      </rPr>
      <t>合计</t>
    </r>
    <r>
      <rPr>
        <sz val="8"/>
        <rFont val="Times New Roman"/>
        <charset val="134"/>
      </rPr>
      <t>=[1]+[2]+[3]+[4]+[5]+[6]+[7]+[8]+[9]+[10]+[11]+[12]+[13]</t>
    </r>
  </si>
  <si>
    <t>地级以上市小计</t>
  </si>
  <si>
    <t>1</t>
  </si>
  <si>
    <t>0</t>
  </si>
  <si>
    <t>财政省直管县小计</t>
  </si>
  <si>
    <t>附件15</t>
  </si>
  <si>
    <t>2019年省级疫病防控项目资金测算表  （市、县）</t>
  </si>
  <si>
    <t>编码</t>
  </si>
  <si>
    <t>市、县</t>
  </si>
  <si>
    <t>金额</t>
  </si>
  <si>
    <t>艾滋病</t>
  </si>
  <si>
    <t>结核病防治</t>
  </si>
  <si>
    <t>其他传染病</t>
  </si>
  <si>
    <t>慢病</t>
  </si>
  <si>
    <t>综合平均指数</t>
  </si>
  <si>
    <t>此列及之后列为多余</t>
  </si>
  <si>
    <t>自报金额</t>
  </si>
  <si>
    <t>金额与自报金额之差</t>
  </si>
  <si>
    <t>变化幅度（%）</t>
  </si>
  <si>
    <t>现存活HIV/AIDS数</t>
  </si>
  <si>
    <t>肺结核患者耐药筛查、患者管理数与检查数</t>
  </si>
  <si>
    <t>麻风病补助人数与监测、筛查人数</t>
  </si>
  <si>
    <t>个案调查数、主动监测数、耐药监测数与高干数</t>
  </si>
  <si>
    <t>其他传染病（流感、禽流感、手足口、诺如相关核酸检测或哨点或采样份数）</t>
  </si>
  <si>
    <t>患者管理治疗、技术人员督导、考核及培训人数</t>
  </si>
  <si>
    <t>健康热线队伍建立与试点</t>
  </si>
  <si>
    <t>监测干预数（生活方式、示范区与伤害）</t>
  </si>
  <si>
    <t>窝沟封闭与涂氟任务数</t>
  </si>
  <si>
    <t>1=22</t>
  </si>
  <si>
    <t>3=[2]/∑[2]</t>
  </si>
  <si>
    <t>5=[4]/∑[4]</t>
  </si>
  <si>
    <t>7=[6]/∑[6]</t>
  </si>
  <si>
    <t>9=[8]/∑[8]</t>
  </si>
  <si>
    <t>11=[10]/∑[10]</t>
  </si>
  <si>
    <t>13=[12]/∑[12]</t>
  </si>
  <si>
    <t>15=[14]/∑[14]</t>
  </si>
  <si>
    <t>17=[16]/∑[16]</t>
  </si>
  <si>
    <t>19=[18]/∑[18]</t>
  </si>
  <si>
    <t>20=([3]×20%＋[5]×15%＋[7]×9%＋[9]×5%＋[11]×19%＋[13]×22%＋[15]×4%+[17]*3%+[19]*%3)×1000</t>
  </si>
  <si>
    <t>21=[20]/∑[20]</t>
  </si>
  <si>
    <t>22＝（6834.15）*[21]</t>
  </si>
  <si>
    <t>直管县</t>
  </si>
  <si>
    <t>水与环境项目</t>
  </si>
  <si>
    <t>与自报金额只差</t>
  </si>
  <si>
    <t>1.麻风病休养员生活费和医疗费的标准请提供相关文件；
2.泗安医院的能力建设，请列明具体包括什么内容；
3.提供南方医科大学早期发现报病奖励的依据；
4.精神卫生项目督导考核的标准依据；
5.重点传染病监测项目的测算，请明确具体的资金使用单位。
6.因素法中，有关牙病防治不要简单用牙齿颗数，请改为规范的任务数。
7.所有培训或会议请列明会议名称、参加人员、人数、天数及标准；
8.所有涉及到出国（境）的费用，请与交流合作处沟通是否有出国经费指标。</t>
  </si>
  <si>
    <t>明细项目名称</t>
  </si>
  <si>
    <t>负责部所</t>
  </si>
  <si>
    <t>会议或培训名称</t>
  </si>
  <si>
    <t>参加人员类型</t>
  </si>
  <si>
    <t>人数</t>
  </si>
  <si>
    <t>天数</t>
  </si>
  <si>
    <t>支出标准（人/天/元）</t>
  </si>
  <si>
    <t>会议或培训总金额</t>
  </si>
  <si>
    <t>2019年免疫项目</t>
  </si>
  <si>
    <t>免疫所</t>
  </si>
  <si>
    <t>免疫规划年度工作会议</t>
  </si>
  <si>
    <t>市级疾控中心免疫规划分管主任及免疫科负责人</t>
  </si>
  <si>
    <t>疫苗可预防传染病疫情研判、AFP病例诊断分类、预防接种管理相关研讨会议</t>
  </si>
  <si>
    <t>部分市县疾控中心免疫规划骨干、AFP诊断分类专家组成员等</t>
  </si>
  <si>
    <t>免疫规划专家咨询委员会及工作组会议</t>
  </si>
  <si>
    <t>免疫规划专家咨询委员会成员、工作组成员</t>
  </si>
  <si>
    <t>广东省预防接种异常反应调查诊断专家组会议</t>
  </si>
  <si>
    <t>预防接种异常反应调查诊断专家组成员</t>
  </si>
  <si>
    <t>广东省预防接种异常反应调查诊断培训</t>
  </si>
  <si>
    <t>市、县级免疫规划专业人员</t>
  </si>
  <si>
    <r>
      <rPr>
        <sz val="11"/>
        <color indexed="8"/>
        <rFont val="宋体"/>
        <charset val="134"/>
      </rPr>
      <t>广东省免疫规划继续教育培训</t>
    </r>
    <r>
      <rPr>
        <sz val="12"/>
        <color indexed="8"/>
        <rFont val="仿宋_GB2312"/>
        <charset val="134"/>
      </rPr>
      <t>项目</t>
    </r>
  </si>
  <si>
    <t>2019年重点传染病防控项目单位</t>
  </si>
  <si>
    <t>综合能力建设</t>
  </si>
  <si>
    <t>人禽</t>
  </si>
  <si>
    <t>猩红热</t>
  </si>
  <si>
    <t>手足口病</t>
  </si>
  <si>
    <t>急性出血性结膜炎</t>
  </si>
  <si>
    <t>广东省公共卫生研究院</t>
  </si>
  <si>
    <t>该专项年预算合计为10万元，具体如下：
1. 举办培训班：0.045万元/天/人*(30人*2天*1次)=2.7万元
2. 样本采集及检测：0.02万元/份*100份=2.0万元
3. 技术材料印刷：0.01万元/份*30份=0.3万元
4. 专家咨询费：0.1万元/人*10人=1.0万元
5. 预警平台模块升级：4.0万元/批*1批=4万元</t>
  </si>
  <si>
    <t>广东省妇幼保健院</t>
  </si>
  <si>
    <t>开展人禽流感现场疫情处置和不明原因肺炎病例实验室检测排查。测算标准：1万元/哨点医院/年</t>
  </si>
  <si>
    <t>猩红热哨点监测标本采集与运送补助：100份*0.04万元/份=4万元</t>
  </si>
  <si>
    <t>哨点医院手足口病例标本采样与运送：用于手足口病和疱疹性咽峡炎哨点医院样本采集人员的补助、样本的运送费等工作，测算标准：1.36万元/年/哨点医院</t>
  </si>
  <si>
    <t>中山大学附属二院</t>
  </si>
  <si>
    <t>省第二人民医院</t>
  </si>
  <si>
    <t>中山大学附属眼科医院</t>
  </si>
  <si>
    <t>急性出血性结膜炎哨点医院监测：症状监测补助0.5万元，用于收集哨点医院的监测门诊就诊病例数据；病例采样送检补助0.5万元，用于本院就诊病例中采集发病早期急性结膜炎病人眼拭子</t>
  </si>
  <si>
    <t>2019年重点传染病防控项目</t>
  </si>
  <si>
    <t>传防所</t>
  </si>
  <si>
    <t>病原微生物检验技术骨干手把手培训</t>
  </si>
  <si>
    <t>基层技术骨干人员</t>
  </si>
  <si>
    <t>疫情分析项目会议</t>
  </si>
  <si>
    <t>重点传染病监测技术培训班暨流感年会</t>
  </si>
  <si>
    <t>病媒蚊虫抗药性监测项目培训</t>
  </si>
  <si>
    <t>疫情分析项目</t>
  </si>
  <si>
    <t>2019年地方病项目</t>
  </si>
  <si>
    <t>地病所</t>
  </si>
  <si>
    <t>地方病防治技术培训</t>
  </si>
  <si>
    <t>市、重点县级专业技术人员</t>
  </si>
  <si>
    <t>2019年寄生虫项目</t>
  </si>
  <si>
    <t>寄研所</t>
  </si>
  <si>
    <t>寄生虫病防控综合培训班</t>
  </si>
  <si>
    <t>2019年加强重点传染病监测项目</t>
  </si>
  <si>
    <t>微检所</t>
  </si>
  <si>
    <t>空气污染人群健康影响监测技术培训</t>
  </si>
  <si>
    <t>监测点相关工作人员</t>
  </si>
  <si>
    <t>污水中诺如病毒监测检测技术培训班</t>
  </si>
  <si>
    <t>监测点技术人员</t>
  </si>
  <si>
    <t>呼吸道感染病原监测技术培训班</t>
  </si>
  <si>
    <t>市疾控中心专业人员及哨点机构相关人员</t>
  </si>
  <si>
    <t>20=([3]*3%+[5]×20%＋[7]×19%＋[9]×22%＋[11]×4%＋[13]×15%＋[15]×3%＋[17]×9%+[19]*%5)×1000</t>
  </si>
  <si>
    <t>艾滋</t>
  </si>
  <si>
    <t>结核病</t>
  </si>
  <si>
    <t>精卫1</t>
  </si>
  <si>
    <t>麻风</t>
  </si>
  <si>
    <t>精卫2</t>
  </si>
  <si>
    <t>性病</t>
  </si>
  <si>
    <t>牙病</t>
  </si>
</sst>
</file>

<file path=xl/styles.xml><?xml version="1.0" encoding="utf-8"?>
<styleSheet xmlns="http://schemas.openxmlformats.org/spreadsheetml/2006/main">
  <numFmts count="17">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_);[Red]\(0.00\)"/>
    <numFmt numFmtId="177" formatCode="0.00_ "/>
    <numFmt numFmtId="178" formatCode="0.000_ "/>
    <numFmt numFmtId="179" formatCode="0;[Red]0"/>
    <numFmt numFmtId="180" formatCode="0.0000_);[Red]\(0.0000\)"/>
    <numFmt numFmtId="181" formatCode="0.000_);[Red]\(0.000\)"/>
    <numFmt numFmtId="182" formatCode="0_ "/>
    <numFmt numFmtId="183" formatCode="0_);[Red]\(0\)"/>
    <numFmt numFmtId="184" formatCode="0.000;[Red]0.000"/>
    <numFmt numFmtId="185" formatCode="0.0000_);\(0.0000\)"/>
    <numFmt numFmtId="186" formatCode="0.0_ "/>
    <numFmt numFmtId="187" formatCode="#,##0.0000"/>
    <numFmt numFmtId="188" formatCode="0.0000_ "/>
  </numFmts>
  <fonts count="81">
    <font>
      <sz val="11"/>
      <color indexed="8"/>
      <name val="宋体"/>
      <charset val="134"/>
    </font>
    <font>
      <sz val="12"/>
      <name val="宋体"/>
      <charset val="134"/>
    </font>
    <font>
      <sz val="12"/>
      <color indexed="8"/>
      <name val="宋体"/>
      <charset val="134"/>
    </font>
    <font>
      <b/>
      <sz val="11"/>
      <color indexed="8"/>
      <name val="宋体"/>
      <charset val="134"/>
    </font>
    <font>
      <sz val="10"/>
      <name val="宋体"/>
      <charset val="134"/>
    </font>
    <font>
      <b/>
      <sz val="10"/>
      <name val="宋体"/>
      <charset val="134"/>
    </font>
    <font>
      <sz val="9"/>
      <name val="宋体"/>
      <charset val="134"/>
    </font>
    <font>
      <b/>
      <sz val="12"/>
      <name val="宋体"/>
      <charset val="134"/>
    </font>
    <font>
      <sz val="14"/>
      <name val="方正小标宋简体"/>
      <charset val="134"/>
    </font>
    <font>
      <sz val="16"/>
      <name val="方正小标宋简体"/>
      <charset val="134"/>
    </font>
    <font>
      <sz val="12"/>
      <name val="方正小标宋简体"/>
      <charset val="134"/>
    </font>
    <font>
      <b/>
      <sz val="14"/>
      <name val="宋体"/>
      <charset val="134"/>
    </font>
    <font>
      <sz val="14"/>
      <name val="宋体"/>
      <charset val="134"/>
    </font>
    <font>
      <sz val="12"/>
      <name val="SimSun"/>
      <charset val="134"/>
    </font>
    <font>
      <sz val="18"/>
      <name val="方正小标宋简体"/>
      <charset val="134"/>
    </font>
    <font>
      <b/>
      <sz val="12"/>
      <color indexed="10"/>
      <name val="宋体"/>
      <charset val="134"/>
    </font>
    <font>
      <b/>
      <sz val="9"/>
      <name val="宋体"/>
      <charset val="134"/>
    </font>
    <font>
      <sz val="10"/>
      <name val="Times New Roman"/>
      <charset val="134"/>
    </font>
    <font>
      <sz val="9"/>
      <name val="Times New Roman"/>
      <charset val="134"/>
    </font>
    <font>
      <sz val="8"/>
      <name val="Times New Roman"/>
      <charset val="134"/>
    </font>
    <font>
      <b/>
      <sz val="9"/>
      <name val="Times New Roman"/>
      <charset val="134"/>
    </font>
    <font>
      <sz val="8"/>
      <name val="宋体"/>
      <charset val="134"/>
    </font>
    <font>
      <sz val="22"/>
      <name val="黑体"/>
      <charset val="134"/>
    </font>
    <font>
      <sz val="28"/>
      <name val="方正小标宋简体"/>
      <charset val="134"/>
    </font>
    <font>
      <sz val="8"/>
      <name val="方正小标宋简体"/>
      <charset val="134"/>
    </font>
    <font>
      <b/>
      <sz val="10"/>
      <name val="Times New Roman"/>
      <charset val="134"/>
    </font>
    <font>
      <sz val="8"/>
      <name val="Calibri"/>
      <charset val="134"/>
    </font>
    <font>
      <b/>
      <sz val="9"/>
      <name val="Arial"/>
      <charset val="134"/>
    </font>
    <font>
      <b/>
      <sz val="8"/>
      <name val="Arial"/>
      <charset val="0"/>
    </font>
    <font>
      <sz val="8"/>
      <name val="Arial"/>
      <charset val="134"/>
    </font>
    <font>
      <b/>
      <sz val="8"/>
      <name val="Arial"/>
      <charset val="134"/>
    </font>
    <font>
      <sz val="8"/>
      <name val="Arial"/>
      <charset val="0"/>
    </font>
    <font>
      <b/>
      <sz val="8"/>
      <name val="宋体"/>
      <charset val="134"/>
    </font>
    <font>
      <b/>
      <sz val="8"/>
      <name val="宋体"/>
      <charset val="0"/>
    </font>
    <font>
      <sz val="11"/>
      <name val="宋体"/>
      <charset val="134"/>
    </font>
    <font>
      <sz val="8"/>
      <name val="宋体"/>
      <charset val="134"/>
      <scheme val="minor"/>
    </font>
    <font>
      <sz val="11"/>
      <name val="Times New Roman"/>
      <charset val="134"/>
    </font>
    <font>
      <sz val="12"/>
      <name val="黑体"/>
      <charset val="134"/>
    </font>
    <font>
      <b/>
      <sz val="18"/>
      <name val="Times New Roman"/>
      <charset val="134"/>
    </font>
    <font>
      <b/>
      <sz val="14"/>
      <name val="Times New Roman"/>
      <charset val="134"/>
    </font>
    <font>
      <b/>
      <sz val="10"/>
      <name val="Arial"/>
      <charset val="134"/>
    </font>
    <font>
      <sz val="10"/>
      <name val="Arial"/>
      <charset val="134"/>
    </font>
    <font>
      <sz val="10.5"/>
      <name val="宋体"/>
      <charset val="134"/>
    </font>
    <font>
      <sz val="10.5"/>
      <name val="Times New Roman"/>
      <charset val="134"/>
    </font>
    <font>
      <sz val="11"/>
      <color theme="1"/>
      <name val="Times New Roman"/>
      <charset val="134"/>
    </font>
    <font>
      <b/>
      <sz val="12"/>
      <color theme="1"/>
      <name val="Times New Roman"/>
      <charset val="134"/>
    </font>
    <font>
      <sz val="11"/>
      <color indexed="8"/>
      <name val="Times New Roman"/>
      <charset val="134"/>
    </font>
    <font>
      <sz val="11"/>
      <color theme="1"/>
      <name val="黑体"/>
      <charset val="134"/>
    </font>
    <font>
      <b/>
      <sz val="16"/>
      <color theme="1"/>
      <name val="Times New Roman"/>
      <charset val="134"/>
    </font>
    <font>
      <b/>
      <sz val="14"/>
      <color theme="1"/>
      <name val="Times New Roman"/>
      <charset val="134"/>
    </font>
    <font>
      <sz val="10"/>
      <color theme="1"/>
      <name val="宋体"/>
      <charset val="134"/>
    </font>
    <font>
      <b/>
      <sz val="11"/>
      <color theme="1"/>
      <name val="Times New Roman"/>
      <charset val="134"/>
    </font>
    <font>
      <b/>
      <sz val="11"/>
      <name val="宋体"/>
      <charset val="134"/>
    </font>
    <font>
      <b/>
      <sz val="11"/>
      <color indexed="62"/>
      <name val="宋体"/>
      <charset val="134"/>
    </font>
    <font>
      <sz val="11"/>
      <color indexed="10"/>
      <name val="宋体"/>
      <charset val="0"/>
    </font>
    <font>
      <sz val="11"/>
      <color indexed="60"/>
      <name val="宋体"/>
      <charset val="0"/>
    </font>
    <font>
      <b/>
      <sz val="11"/>
      <color indexed="8"/>
      <name val="宋体"/>
      <charset val="0"/>
    </font>
    <font>
      <b/>
      <sz val="11"/>
      <color indexed="9"/>
      <name val="宋体"/>
      <charset val="0"/>
    </font>
    <font>
      <i/>
      <sz val="11"/>
      <color indexed="23"/>
      <name val="宋体"/>
      <charset val="0"/>
    </font>
    <font>
      <sz val="10"/>
      <name val="Arial"/>
      <charset val="0"/>
    </font>
    <font>
      <sz val="11"/>
      <color indexed="17"/>
      <name val="宋体"/>
      <charset val="0"/>
    </font>
    <font>
      <u/>
      <sz val="11"/>
      <color indexed="20"/>
      <name val="宋体"/>
      <charset val="0"/>
    </font>
    <font>
      <sz val="11"/>
      <color indexed="62"/>
      <name val="宋体"/>
      <charset val="0"/>
    </font>
    <font>
      <sz val="11"/>
      <color indexed="8"/>
      <name val="宋体"/>
      <charset val="0"/>
    </font>
    <font>
      <sz val="11"/>
      <color indexed="42"/>
      <name val="宋体"/>
      <charset val="0"/>
    </font>
    <font>
      <b/>
      <sz val="11"/>
      <color indexed="52"/>
      <name val="宋体"/>
      <charset val="0"/>
    </font>
    <font>
      <b/>
      <sz val="18"/>
      <color indexed="62"/>
      <name val="宋体"/>
      <charset val="134"/>
    </font>
    <font>
      <u/>
      <sz val="11"/>
      <color indexed="12"/>
      <name val="宋体"/>
      <charset val="0"/>
    </font>
    <font>
      <b/>
      <sz val="11"/>
      <color indexed="63"/>
      <name val="宋体"/>
      <charset val="0"/>
    </font>
    <font>
      <b/>
      <sz val="13"/>
      <color indexed="62"/>
      <name val="宋体"/>
      <charset val="134"/>
    </font>
    <font>
      <sz val="12"/>
      <name val="Arial"/>
      <charset val="0"/>
    </font>
    <font>
      <sz val="11"/>
      <color indexed="52"/>
      <name val="宋体"/>
      <charset val="0"/>
    </font>
    <font>
      <b/>
      <sz val="15"/>
      <color indexed="62"/>
      <name val="宋体"/>
      <charset val="134"/>
    </font>
    <font>
      <sz val="11"/>
      <color theme="1"/>
      <name val="宋体"/>
      <charset val="134"/>
      <scheme val="minor"/>
    </font>
    <font>
      <sz val="12"/>
      <color indexed="8"/>
      <name val="仿宋_GB2312"/>
      <charset val="134"/>
    </font>
    <font>
      <b/>
      <sz val="8"/>
      <name val="Times New Roman"/>
      <charset val="134"/>
    </font>
    <font>
      <b/>
      <sz val="8"/>
      <name val="Times New Roman"/>
      <charset val="0"/>
    </font>
    <font>
      <b/>
      <sz val="18"/>
      <name val="宋体"/>
      <charset val="134"/>
    </font>
    <font>
      <b/>
      <sz val="16"/>
      <color theme="1"/>
      <name val="宋体"/>
      <charset val="134"/>
    </font>
    <font>
      <b/>
      <sz val="12"/>
      <color theme="1"/>
      <name val="宋体"/>
      <charset val="134"/>
    </font>
    <font>
      <b/>
      <sz val="11"/>
      <color theme="1"/>
      <name val="宋体"/>
      <charset val="134"/>
    </font>
  </fonts>
  <fills count="19">
    <fill>
      <patternFill patternType="none"/>
    </fill>
    <fill>
      <patternFill patternType="gray125"/>
    </fill>
    <fill>
      <patternFill patternType="solid">
        <fgColor indexed="13"/>
        <bgColor indexed="64"/>
      </patternFill>
    </fill>
    <fill>
      <patternFill patternType="solid">
        <fgColor indexed="42"/>
        <bgColor indexed="64"/>
      </patternFill>
    </fill>
    <fill>
      <patternFill patternType="solid">
        <fgColor indexed="26"/>
        <bgColor indexed="64"/>
      </patternFill>
    </fill>
    <fill>
      <patternFill patternType="solid">
        <fgColor indexed="29"/>
        <bgColor indexed="64"/>
      </patternFill>
    </fill>
    <fill>
      <patternFill patternType="solid">
        <fgColor indexed="55"/>
        <bgColor indexed="64"/>
      </patternFill>
    </fill>
    <fill>
      <patternFill patternType="solid">
        <fgColor indexed="47"/>
        <bgColor indexed="64"/>
      </patternFill>
    </fill>
    <fill>
      <patternFill patternType="solid">
        <fgColor indexed="44"/>
        <bgColor indexed="64"/>
      </patternFill>
    </fill>
    <fill>
      <patternFill patternType="solid">
        <fgColor indexed="31"/>
        <bgColor indexed="64"/>
      </patternFill>
    </fill>
    <fill>
      <patternFill patternType="solid">
        <fgColor indexed="43"/>
        <bgColor indexed="64"/>
      </patternFill>
    </fill>
    <fill>
      <patternFill patternType="solid">
        <fgColor indexed="9"/>
        <bgColor indexed="64"/>
      </patternFill>
    </fill>
    <fill>
      <patternFill patternType="solid">
        <fgColor indexed="46"/>
        <bgColor indexed="64"/>
      </patternFill>
    </fill>
    <fill>
      <patternFill patternType="solid">
        <fgColor indexed="10"/>
        <bgColor indexed="64"/>
      </patternFill>
    </fill>
    <fill>
      <patternFill patternType="solid">
        <fgColor indexed="27"/>
        <bgColor indexed="64"/>
      </patternFill>
    </fill>
    <fill>
      <patternFill patternType="solid">
        <fgColor indexed="57"/>
        <bgColor indexed="64"/>
      </patternFill>
    </fill>
    <fill>
      <patternFill patternType="solid">
        <fgColor indexed="49"/>
        <bgColor indexed="64"/>
      </patternFill>
    </fill>
    <fill>
      <patternFill patternType="solid">
        <fgColor indexed="53"/>
        <bgColor indexed="64"/>
      </patternFill>
    </fill>
    <fill>
      <patternFill patternType="solid">
        <fgColor indexed="2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right/>
      <top/>
      <bottom style="medium">
        <color indexed="49"/>
      </bottom>
      <diagonal/>
    </border>
    <border>
      <left/>
      <right/>
      <top/>
      <bottom style="double">
        <color indexed="52"/>
      </bottom>
      <diagonal/>
    </border>
  </borders>
  <cellStyleXfs count="81">
    <xf numFmtId="0" fontId="0" fillId="0" borderId="0">
      <alignment vertical="center"/>
    </xf>
    <xf numFmtId="42" fontId="0" fillId="0" borderId="0" applyFont="0" applyBorder="0" applyAlignment="0" applyProtection="0">
      <alignment vertical="center"/>
    </xf>
    <xf numFmtId="0" fontId="63" fillId="3" borderId="0" applyNumberFormat="0" applyBorder="0" applyAlignment="0" applyProtection="0">
      <alignment vertical="center"/>
    </xf>
    <xf numFmtId="0" fontId="62" fillId="7" borderId="12" applyNumberFormat="0" applyAlignment="0" applyProtection="0">
      <alignment vertical="center"/>
    </xf>
    <xf numFmtId="44" fontId="0" fillId="0" borderId="0" applyFont="0" applyBorder="0" applyAlignment="0" applyProtection="0">
      <alignment vertical="center"/>
    </xf>
    <xf numFmtId="41" fontId="0" fillId="0" borderId="0" applyFont="0" applyBorder="0" applyAlignment="0" applyProtection="0">
      <alignment vertical="center"/>
    </xf>
    <xf numFmtId="0" fontId="63" fillId="3" borderId="0" applyNumberFormat="0" applyBorder="0" applyAlignment="0" applyProtection="0">
      <alignment vertical="center"/>
    </xf>
    <xf numFmtId="0" fontId="55" fillId="5" borderId="0" applyNumberFormat="0" applyBorder="0" applyAlignment="0" applyProtection="0">
      <alignment vertical="center"/>
    </xf>
    <xf numFmtId="43" fontId="0" fillId="0" borderId="0" applyFont="0" applyBorder="0" applyAlignment="0" applyProtection="0">
      <alignment vertical="center"/>
    </xf>
    <xf numFmtId="0" fontId="64" fillId="3" borderId="0" applyNumberFormat="0" applyBorder="0" applyAlignment="0" applyProtection="0">
      <alignment vertical="center"/>
    </xf>
    <xf numFmtId="0" fontId="67" fillId="0" borderId="0" applyNumberFormat="0" applyBorder="0" applyAlignment="0" applyProtection="0">
      <alignment vertical="center"/>
    </xf>
    <xf numFmtId="0" fontId="59" fillId="0" borderId="0">
      <alignment vertical="center"/>
    </xf>
    <xf numFmtId="9" fontId="0" fillId="0" borderId="0" applyFont="0" applyBorder="0" applyAlignment="0" applyProtection="0">
      <alignment vertical="center"/>
    </xf>
    <xf numFmtId="0" fontId="61" fillId="0" borderId="0" applyNumberFormat="0" applyBorder="0" applyAlignment="0" applyProtection="0">
      <alignment vertical="center"/>
    </xf>
    <xf numFmtId="0" fontId="0" fillId="4" borderId="9" applyNumberFormat="0" applyFont="0" applyAlignment="0" applyProtection="0">
      <alignment vertical="center"/>
    </xf>
    <xf numFmtId="0" fontId="64" fillId="5" borderId="0" applyNumberFormat="0" applyBorder="0" applyAlignment="0" applyProtection="0">
      <alignment vertical="center"/>
    </xf>
    <xf numFmtId="0" fontId="53" fillId="0" borderId="0" applyNumberFormat="0" applyBorder="0" applyAlignment="0" applyProtection="0">
      <alignment vertical="center"/>
    </xf>
    <xf numFmtId="0" fontId="54" fillId="0" borderId="0" applyNumberFormat="0" applyBorder="0" applyAlignment="0" applyProtection="0">
      <alignment vertical="center"/>
    </xf>
    <xf numFmtId="0" fontId="66" fillId="0" borderId="0" applyNumberFormat="0" applyBorder="0" applyAlignment="0" applyProtection="0">
      <alignment vertical="center"/>
    </xf>
    <xf numFmtId="0" fontId="1" fillId="0" borderId="0">
      <alignment vertical="center"/>
    </xf>
    <xf numFmtId="0" fontId="58" fillId="0" borderId="0" applyNumberFormat="0" applyBorder="0" applyAlignment="0" applyProtection="0">
      <alignment vertical="center"/>
    </xf>
    <xf numFmtId="0" fontId="72" fillId="0" borderId="15" applyNumberFormat="0" applyAlignment="0" applyProtection="0">
      <alignment vertical="center"/>
    </xf>
    <xf numFmtId="0" fontId="69" fillId="0" borderId="15" applyNumberFormat="0" applyAlignment="0" applyProtection="0">
      <alignment vertical="center"/>
    </xf>
    <xf numFmtId="0" fontId="64" fillId="8" borderId="0" applyNumberFormat="0" applyBorder="0" applyAlignment="0" applyProtection="0">
      <alignment vertical="center"/>
    </xf>
    <xf numFmtId="0" fontId="53" fillId="0" borderId="13" applyNumberFormat="0" applyAlignment="0" applyProtection="0">
      <alignment vertical="center"/>
    </xf>
    <xf numFmtId="0" fontId="64" fillId="12" borderId="0" applyNumberFormat="0" applyBorder="0" applyAlignment="0" applyProtection="0">
      <alignment vertical="center"/>
    </xf>
    <xf numFmtId="0" fontId="68" fillId="11" borderId="14" applyNumberFormat="0" applyAlignment="0" applyProtection="0">
      <alignment vertical="center"/>
    </xf>
    <xf numFmtId="0" fontId="65" fillId="11" borderId="12" applyNumberFormat="0" applyAlignment="0" applyProtection="0">
      <alignment vertical="center"/>
    </xf>
    <xf numFmtId="0" fontId="57" fillId="6" borderId="11" applyNumberFormat="0" applyAlignment="0" applyProtection="0">
      <alignment vertical="center"/>
    </xf>
    <xf numFmtId="0" fontId="63" fillId="7" borderId="0" applyNumberFormat="0" applyBorder="0" applyAlignment="0" applyProtection="0">
      <alignment vertical="center"/>
    </xf>
    <xf numFmtId="0" fontId="64" fillId="13" borderId="0" applyNumberFormat="0" applyBorder="0" applyAlignment="0" applyProtection="0">
      <alignment vertical="center"/>
    </xf>
    <xf numFmtId="0" fontId="71" fillId="0" borderId="16" applyNumberFormat="0" applyAlignment="0" applyProtection="0">
      <alignment vertical="center"/>
    </xf>
    <xf numFmtId="0" fontId="56" fillId="0" borderId="10" applyNumberFormat="0" applyAlignment="0" applyProtection="0">
      <alignment vertical="center"/>
    </xf>
    <xf numFmtId="0" fontId="0" fillId="0" borderId="0">
      <alignment vertical="center"/>
    </xf>
    <xf numFmtId="0" fontId="60" fillId="3" borderId="0" applyNumberFormat="0" applyBorder="0" applyAlignment="0" applyProtection="0">
      <alignment vertical="center"/>
    </xf>
    <xf numFmtId="0" fontId="55" fillId="10" borderId="0" applyNumberFormat="0" applyBorder="0" applyAlignment="0" applyProtection="0">
      <alignment vertical="center"/>
    </xf>
    <xf numFmtId="0" fontId="63" fillId="14" borderId="0" applyNumberFormat="0" applyBorder="0" applyAlignment="0" applyProtection="0">
      <alignment vertical="center"/>
    </xf>
    <xf numFmtId="0" fontId="64" fillId="16" borderId="0" applyNumberFormat="0" applyBorder="0" applyAlignment="0" applyProtection="0">
      <alignment vertical="center"/>
    </xf>
    <xf numFmtId="0" fontId="1" fillId="0" borderId="0" applyProtection="0">
      <alignment vertical="center"/>
    </xf>
    <xf numFmtId="0" fontId="63" fillId="9" borderId="0" applyNumberFormat="0" applyBorder="0" applyAlignment="0" applyProtection="0">
      <alignment vertical="center"/>
    </xf>
    <xf numFmtId="0" fontId="63" fillId="8" borderId="0" applyNumberFormat="0" applyBorder="0" applyAlignment="0" applyProtection="0">
      <alignment vertical="center"/>
    </xf>
    <xf numFmtId="0" fontId="63" fillId="5" borderId="0" applyNumberFormat="0" applyBorder="0" applyAlignment="0" applyProtection="0">
      <alignment vertical="center"/>
    </xf>
    <xf numFmtId="0" fontId="63" fillId="5" borderId="0" applyNumberFormat="0" applyBorder="0" applyAlignment="0" applyProtection="0">
      <alignment vertical="center"/>
    </xf>
    <xf numFmtId="0" fontId="70" fillId="0" borderId="0" applyNumberFormat="0" applyBorder="0" applyAlignment="0" applyProtection="0">
      <alignment vertical="center"/>
    </xf>
    <xf numFmtId="0" fontId="64" fillId="15" borderId="0" applyNumberFormat="0" applyBorder="0" applyAlignment="0" applyProtection="0">
      <alignment vertical="center"/>
    </xf>
    <xf numFmtId="0" fontId="1" fillId="0" borderId="0">
      <alignment vertical="center"/>
    </xf>
    <xf numFmtId="0" fontId="64" fillId="18" borderId="0" applyNumberFormat="0" applyBorder="0" applyAlignment="0" applyProtection="0">
      <alignment vertical="center"/>
    </xf>
    <xf numFmtId="0" fontId="63" fillId="12" borderId="0" applyNumberFormat="0" applyBorder="0" applyAlignment="0" applyProtection="0">
      <alignment vertical="center"/>
    </xf>
    <xf numFmtId="0" fontId="63" fillId="12" borderId="0" applyNumberFormat="0" applyBorder="0" applyAlignment="0" applyProtection="0">
      <alignment vertical="center"/>
    </xf>
    <xf numFmtId="0" fontId="64" fillId="16" borderId="0" applyNumberFormat="0" applyBorder="0" applyAlignment="0" applyProtection="0">
      <alignment vertical="center"/>
    </xf>
    <xf numFmtId="0" fontId="63" fillId="8" borderId="0" applyNumberFormat="0" applyBorder="0" applyAlignment="0" applyProtection="0">
      <alignment vertical="center"/>
    </xf>
    <xf numFmtId="0" fontId="64" fillId="8" borderId="0" applyNumberFormat="0" applyBorder="0" applyAlignment="0" applyProtection="0">
      <alignment vertical="center"/>
    </xf>
    <xf numFmtId="0" fontId="64" fillId="17" borderId="0" applyNumberFormat="0" applyBorder="0" applyAlignment="0" applyProtection="0">
      <alignment vertical="center"/>
    </xf>
    <xf numFmtId="0" fontId="63" fillId="7" borderId="0" applyNumberFormat="0" applyBorder="0" applyAlignment="0" applyProtection="0">
      <alignment vertical="center"/>
    </xf>
    <xf numFmtId="0" fontId="64" fillId="7" borderId="0" applyNumberFormat="0" applyBorder="0" applyAlignment="0" applyProtection="0">
      <alignment vertical="center"/>
    </xf>
    <xf numFmtId="0" fontId="1" fillId="0" borderId="0" applyProtection="0">
      <alignment vertical="center"/>
    </xf>
    <xf numFmtId="0" fontId="1" fillId="0" borderId="0">
      <alignment vertical="center"/>
    </xf>
    <xf numFmtId="0" fontId="0" fillId="0" borderId="0">
      <alignment vertical="center"/>
    </xf>
    <xf numFmtId="0" fontId="1" fillId="0" borderId="0" applyProtection="0">
      <alignment vertical="center"/>
    </xf>
    <xf numFmtId="0" fontId="1" fillId="0" borderId="0">
      <alignment vertical="center"/>
    </xf>
    <xf numFmtId="0" fontId="59" fillId="0" borderId="0">
      <alignment vertical="center"/>
    </xf>
    <xf numFmtId="0" fontId="0" fillId="0" borderId="0">
      <alignment vertical="center"/>
    </xf>
    <xf numFmtId="0" fontId="1" fillId="0" borderId="0">
      <alignment vertical="center"/>
    </xf>
    <xf numFmtId="0" fontId="59" fillId="0" borderId="0">
      <alignment vertical="center"/>
    </xf>
    <xf numFmtId="0" fontId="0" fillId="0" borderId="0">
      <alignment vertical="center"/>
    </xf>
    <xf numFmtId="0" fontId="59" fillId="0" borderId="0">
      <alignment vertical="center"/>
    </xf>
    <xf numFmtId="0" fontId="1" fillId="0" borderId="0">
      <alignment vertical="center"/>
    </xf>
    <xf numFmtId="0" fontId="0" fillId="0" borderId="0">
      <alignment vertical="center"/>
    </xf>
    <xf numFmtId="0" fontId="0" fillId="0" borderId="0">
      <alignment vertical="center"/>
    </xf>
    <xf numFmtId="0" fontId="1" fillId="0" borderId="0">
      <alignment vertical="center"/>
    </xf>
    <xf numFmtId="43" fontId="0" fillId="0" borderId="0" applyFont="0" applyFill="0" applyBorder="0" applyAlignment="0" applyProtection="0">
      <alignment vertical="center"/>
    </xf>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xf numFmtId="9" fontId="1" fillId="0" borderId="0" applyProtection="0">
      <alignment vertical="center"/>
    </xf>
    <xf numFmtId="0" fontId="73" fillId="0" borderId="0">
      <alignment vertical="center"/>
    </xf>
    <xf numFmtId="0" fontId="1" fillId="0" borderId="0" applyProtection="0">
      <alignment vertical="center"/>
    </xf>
  </cellStyleXfs>
  <cellXfs count="333">
    <xf numFmtId="0" fontId="0" fillId="0" borderId="0" xfId="0" applyFill="1">
      <alignment vertical="center"/>
    </xf>
    <xf numFmtId="180" fontId="1" fillId="0" borderId="1" xfId="43" applyNumberFormat="1" applyFont="1" applyFill="1" applyBorder="1" applyAlignment="1">
      <alignment horizontal="center" vertical="center" wrapText="1"/>
    </xf>
    <xf numFmtId="0" fontId="2" fillId="0" borderId="0" xfId="0" applyFont="1" applyFill="1">
      <alignment vertical="center"/>
    </xf>
    <xf numFmtId="0" fontId="2" fillId="0" borderId="0" xfId="0" applyFont="1" applyFill="1" applyAlignment="1">
      <alignment vertical="center" wrapText="1"/>
    </xf>
    <xf numFmtId="0" fontId="3" fillId="0"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2" xfId="0" applyFill="1" applyBorder="1" applyAlignment="1">
      <alignment horizontal="center" vertical="center"/>
    </xf>
    <xf numFmtId="0" fontId="0" fillId="2" borderId="1" xfId="0" applyFill="1" applyBorder="1" applyAlignment="1">
      <alignment vertical="center" wrapText="1"/>
    </xf>
    <xf numFmtId="0" fontId="0" fillId="2" borderId="1" xfId="0" applyFont="1" applyFill="1" applyBorder="1" applyAlignment="1">
      <alignment vertical="center" wrapText="1"/>
    </xf>
    <xf numFmtId="0" fontId="0" fillId="0" borderId="1" xfId="0" applyFill="1" applyBorder="1">
      <alignment vertical="center"/>
    </xf>
    <xf numFmtId="0" fontId="0" fillId="0" borderId="3" xfId="0" applyFill="1" applyBorder="1" applyAlignment="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wrapText="1"/>
    </xf>
    <xf numFmtId="0" fontId="0" fillId="0" borderId="4" xfId="0" applyFill="1" applyBorder="1" applyAlignment="1">
      <alignment horizontal="center" vertical="center"/>
    </xf>
    <xf numFmtId="43" fontId="4" fillId="2" borderId="1" xfId="0" applyNumberFormat="1" applyFont="1" applyFill="1" applyBorder="1" applyAlignment="1">
      <alignment horizontal="center" vertical="center" wrapText="1"/>
    </xf>
    <xf numFmtId="43" fontId="4" fillId="2" borderId="1" xfId="0" applyNumberFormat="1" applyFont="1" applyFill="1" applyBorder="1" applyAlignment="1">
      <alignment horizontal="center" vertical="center"/>
    </xf>
    <xf numFmtId="43" fontId="4" fillId="0" borderId="1" xfId="0" applyNumberFormat="1" applyFont="1" applyFill="1" applyBorder="1" applyAlignment="1">
      <alignment horizontal="center" vertical="center" wrapText="1"/>
    </xf>
    <xf numFmtId="43" fontId="4" fillId="0" borderId="1" xfId="0" applyNumberFormat="1" applyFont="1" applyFill="1" applyBorder="1" applyAlignment="1">
      <alignment horizontal="center" vertical="center"/>
    </xf>
    <xf numFmtId="0" fontId="5" fillId="0" borderId="1" xfId="67" applyFont="1" applyFill="1" applyBorder="1" applyAlignment="1">
      <alignment vertical="center" wrapText="1"/>
    </xf>
    <xf numFmtId="0" fontId="4" fillId="0" borderId="1" xfId="0" applyFont="1" applyFill="1" applyBorder="1" applyAlignment="1">
      <alignment horizontal="center" vertical="center" wrapText="1"/>
    </xf>
    <xf numFmtId="0" fontId="0" fillId="2" borderId="1" xfId="0" applyFont="1" applyFill="1" applyBorder="1" applyAlignment="1"/>
    <xf numFmtId="0" fontId="0" fillId="2" borderId="1" xfId="0" applyFill="1" applyBorder="1" applyAlignment="1"/>
    <xf numFmtId="0" fontId="0" fillId="2" borderId="1" xfId="0" applyFill="1" applyBorder="1">
      <alignment vertical="center"/>
    </xf>
    <xf numFmtId="0" fontId="0" fillId="2" borderId="1" xfId="0" applyFont="1" applyFill="1" applyBorder="1" applyAlignment="1">
      <alignment horizontal="left" vertical="center"/>
    </xf>
    <xf numFmtId="0" fontId="0" fillId="0" borderId="0" xfId="0" applyFont="1" applyFill="1" applyBorder="1" applyAlignment="1">
      <alignment vertical="center"/>
    </xf>
    <xf numFmtId="0" fontId="0" fillId="0" borderId="1" xfId="0" applyFill="1" applyBorder="1" applyAlignment="1">
      <alignment vertical="center" wrapText="1"/>
    </xf>
    <xf numFmtId="0" fontId="0" fillId="0" borderId="1" xfId="0" applyFill="1" applyBorder="1" applyAlignment="1">
      <alignment horizontal="center" vertical="center"/>
    </xf>
    <xf numFmtId="43" fontId="3" fillId="3" borderId="1" xfId="8" applyFont="1" applyFill="1" applyBorder="1" applyAlignment="1">
      <alignment horizontal="center" vertical="center" wrapText="1"/>
    </xf>
    <xf numFmtId="43" fontId="0" fillId="0" borderId="1" xfId="8" applyFont="1" applyFill="1" applyBorder="1">
      <alignment vertical="center"/>
    </xf>
    <xf numFmtId="0" fontId="6" fillId="0" borderId="0" xfId="43" applyNumberFormat="1" applyFont="1" applyFill="1" applyBorder="1" applyAlignment="1"/>
    <xf numFmtId="0" fontId="7" fillId="0" borderId="0" xfId="43" applyNumberFormat="1" applyFont="1" applyFill="1" applyBorder="1" applyAlignment="1"/>
    <xf numFmtId="0" fontId="1" fillId="0" borderId="0" xfId="43" applyNumberFormat="1" applyFont="1" applyFill="1" applyBorder="1" applyAlignment="1">
      <alignment horizontal="center" vertical="center" wrapText="1"/>
    </xf>
    <xf numFmtId="0" fontId="1" fillId="0" borderId="0" xfId="43" applyNumberFormat="1" applyFont="1" applyFill="1" applyBorder="1" applyAlignment="1">
      <alignment vertical="center" wrapText="1"/>
    </xf>
    <xf numFmtId="0" fontId="7" fillId="0" borderId="0" xfId="43" applyNumberFormat="1" applyFont="1" applyFill="1" applyBorder="1" applyAlignment="1">
      <alignment vertical="center"/>
    </xf>
    <xf numFmtId="0" fontId="1" fillId="0" borderId="0" xfId="43" applyNumberFormat="1" applyFont="1" applyFill="1" applyBorder="1" applyAlignment="1">
      <alignment vertical="center"/>
    </xf>
    <xf numFmtId="178" fontId="6" fillId="0" borderId="0" xfId="43" applyNumberFormat="1" applyFont="1" applyFill="1" applyBorder="1" applyAlignment="1">
      <alignment horizontal="center"/>
    </xf>
    <xf numFmtId="180" fontId="6" fillId="0" borderId="0" xfId="43" applyNumberFormat="1" applyFont="1" applyFill="1" applyBorder="1" applyAlignment="1">
      <alignment horizontal="center"/>
    </xf>
    <xf numFmtId="177" fontId="6" fillId="0" borderId="0" xfId="43" applyNumberFormat="1" applyFont="1" applyFill="1" applyBorder="1" applyAlignment="1">
      <alignment horizontal="center"/>
    </xf>
    <xf numFmtId="182" fontId="6" fillId="0" borderId="0" xfId="43" applyNumberFormat="1" applyFont="1" applyFill="1" applyBorder="1" applyAlignment="1">
      <alignment horizontal="center"/>
    </xf>
    <xf numFmtId="180" fontId="1" fillId="0" borderId="0" xfId="43" applyNumberFormat="1" applyFont="1" applyFill="1" applyBorder="1" applyAlignment="1">
      <alignment horizontal="center" vertical="center"/>
    </xf>
    <xf numFmtId="182" fontId="6" fillId="0" borderId="0" xfId="43" applyNumberFormat="1" applyFont="1" applyFill="1" applyBorder="1" applyAlignment="1"/>
    <xf numFmtId="180" fontId="6" fillId="0" borderId="0" xfId="43" applyNumberFormat="1" applyFont="1" applyFill="1" applyBorder="1" applyAlignment="1"/>
    <xf numFmtId="4" fontId="6" fillId="0" borderId="0" xfId="43" applyNumberFormat="1" applyFont="1" applyFill="1" applyBorder="1" applyAlignment="1">
      <alignment horizontal="center"/>
    </xf>
    <xf numFmtId="178" fontId="6" fillId="0" borderId="0" xfId="43" applyNumberFormat="1" applyFont="1" applyFill="1" applyBorder="1" applyAlignment="1"/>
    <xf numFmtId="178" fontId="6" fillId="2" borderId="0" xfId="43" applyNumberFormat="1" applyFont="1" applyFill="1" applyBorder="1" applyAlignment="1"/>
    <xf numFmtId="0" fontId="1" fillId="0" borderId="0" xfId="0" applyFont="1" applyFill="1" applyBorder="1" applyAlignment="1">
      <alignment vertical="center"/>
    </xf>
    <xf numFmtId="183" fontId="1" fillId="0" borderId="0" xfId="43" applyNumberFormat="1" applyFont="1" applyFill="1" applyBorder="1" applyAlignment="1"/>
    <xf numFmtId="183" fontId="6" fillId="0" borderId="0" xfId="43" applyNumberFormat="1" applyFont="1" applyFill="1" applyBorder="1" applyAlignment="1"/>
    <xf numFmtId="0" fontId="8" fillId="0" borderId="0" xfId="0" applyFont="1" applyFill="1" applyAlignment="1">
      <alignment horizontal="center" vertical="center"/>
    </xf>
    <xf numFmtId="178" fontId="9" fillId="0" borderId="0" xfId="0" applyNumberFormat="1" applyFont="1" applyFill="1" applyBorder="1" applyAlignment="1">
      <alignment horizontal="center" vertical="center"/>
    </xf>
    <xf numFmtId="0" fontId="9" fillId="0" borderId="0" xfId="0" applyFont="1" applyFill="1" applyBorder="1" applyAlignment="1">
      <alignment horizontal="center" vertical="center"/>
    </xf>
    <xf numFmtId="177" fontId="9" fillId="0" borderId="0" xfId="0" applyNumberFormat="1" applyFont="1" applyFill="1" applyBorder="1" applyAlignment="1">
      <alignment horizontal="center" vertical="center"/>
    </xf>
    <xf numFmtId="182" fontId="9" fillId="0" borderId="0" xfId="0" applyNumberFormat="1" applyFont="1" applyFill="1" applyBorder="1" applyAlignment="1">
      <alignment horizontal="center" vertical="center"/>
    </xf>
    <xf numFmtId="0" fontId="7" fillId="0" borderId="1" xfId="43" applyNumberFormat="1" applyFont="1" applyFill="1" applyBorder="1" applyAlignment="1">
      <alignment horizontal="center" vertical="center" wrapText="1"/>
    </xf>
    <xf numFmtId="178" fontId="7" fillId="0" borderId="1" xfId="43" applyNumberFormat="1" applyFont="1" applyFill="1" applyBorder="1" applyAlignment="1">
      <alignment horizontal="center" vertical="center" wrapText="1"/>
    </xf>
    <xf numFmtId="177" fontId="7" fillId="0" borderId="1" xfId="43" applyNumberFormat="1" applyFont="1" applyFill="1" applyBorder="1" applyAlignment="1">
      <alignment horizontal="center" vertical="center" wrapText="1"/>
    </xf>
    <xf numFmtId="182" fontId="7" fillId="0" borderId="1" xfId="43" applyNumberFormat="1" applyFont="1" applyFill="1" applyBorder="1" applyAlignment="1">
      <alignment horizontal="center" vertical="center" wrapText="1"/>
    </xf>
    <xf numFmtId="180" fontId="7" fillId="0" borderId="1" xfId="43" applyNumberFormat="1" applyFont="1" applyFill="1" applyBorder="1" applyAlignment="1">
      <alignment horizontal="center" vertical="center" wrapText="1"/>
    </xf>
    <xf numFmtId="0" fontId="1" fillId="0" borderId="1" xfId="43" applyNumberFormat="1" applyFont="1" applyFill="1" applyBorder="1" applyAlignment="1">
      <alignment horizontal="center" vertical="center" wrapText="1"/>
    </xf>
    <xf numFmtId="182" fontId="1" fillId="0" borderId="1" xfId="43" applyNumberFormat="1" applyFont="1" applyFill="1" applyBorder="1" applyAlignment="1">
      <alignment horizontal="center" vertical="center" wrapText="1"/>
    </xf>
    <xf numFmtId="0" fontId="3" fillId="0" borderId="1" xfId="0" applyFont="1" applyFill="1" applyBorder="1" applyAlignment="1">
      <alignment horizontal="center" vertical="center"/>
    </xf>
    <xf numFmtId="4" fontId="7" fillId="0" borderId="1" xfId="8" applyNumberFormat="1" applyFont="1" applyFill="1" applyBorder="1" applyAlignment="1">
      <alignment horizontal="center" vertical="center"/>
    </xf>
    <xf numFmtId="182" fontId="7" fillId="0" borderId="1" xfId="43" applyNumberFormat="1" applyFont="1" applyFill="1" applyBorder="1" applyAlignment="1">
      <alignment horizontal="center" vertical="center"/>
    </xf>
    <xf numFmtId="181" fontId="7" fillId="0" borderId="1" xfId="43" applyNumberFormat="1" applyFont="1" applyFill="1" applyBorder="1" applyAlignment="1">
      <alignment horizontal="center" vertical="center"/>
    </xf>
    <xf numFmtId="178" fontId="7" fillId="0" borderId="1" xfId="43" applyNumberFormat="1" applyFont="1" applyFill="1" applyBorder="1" applyAlignment="1">
      <alignment horizontal="center" vertical="center"/>
    </xf>
    <xf numFmtId="183" fontId="1" fillId="0" borderId="1" xfId="55" applyNumberFormat="1" applyFont="1" applyFill="1" applyBorder="1" applyAlignment="1">
      <alignment horizontal="center" vertical="center" wrapText="1"/>
    </xf>
    <xf numFmtId="181" fontId="1" fillId="0" borderId="1" xfId="43" applyNumberFormat="1" applyFont="1" applyFill="1" applyBorder="1" applyAlignment="1">
      <alignment horizontal="center" vertical="center" wrapText="1"/>
    </xf>
    <xf numFmtId="179" fontId="1" fillId="0" borderId="1" xfId="64" applyNumberFormat="1" applyFont="1" applyFill="1" applyBorder="1" applyAlignment="1">
      <alignment horizontal="center" vertical="center"/>
    </xf>
    <xf numFmtId="182" fontId="1" fillId="0" borderId="1" xfId="0" applyNumberFormat="1" applyFont="1" applyFill="1" applyBorder="1" applyAlignment="1">
      <alignment horizontal="center" vertical="center"/>
    </xf>
    <xf numFmtId="181" fontId="7" fillId="0" borderId="1" xfId="43" applyNumberFormat="1" applyFont="1" applyFill="1" applyBorder="1" applyAlignment="1">
      <alignment horizontal="center" vertical="center" wrapText="1"/>
    </xf>
    <xf numFmtId="182" fontId="1" fillId="0" borderId="1" xfId="33" applyNumberFormat="1" applyFont="1" applyFill="1" applyBorder="1" applyAlignment="1">
      <alignment horizontal="center" vertical="center"/>
    </xf>
    <xf numFmtId="182" fontId="1" fillId="0" borderId="1" xfId="43" applyNumberFormat="1" applyFont="1" applyFill="1" applyBorder="1" applyAlignment="1">
      <alignment horizontal="center" vertical="center"/>
    </xf>
    <xf numFmtId="0" fontId="0" fillId="0" borderId="0" xfId="0" applyFill="1" applyAlignment="1">
      <alignment horizontal="left" vertical="center"/>
    </xf>
    <xf numFmtId="0" fontId="0" fillId="0" borderId="0" xfId="0" applyFill="1" applyBorder="1" applyAlignment="1">
      <alignment horizontal="center" vertical="center"/>
    </xf>
    <xf numFmtId="182" fontId="8" fillId="0" borderId="0" xfId="0" applyNumberFormat="1" applyFont="1" applyFill="1" applyAlignment="1">
      <alignment horizontal="center" vertical="center"/>
    </xf>
    <xf numFmtId="0" fontId="10" fillId="0" borderId="0" xfId="0" applyFont="1" applyFill="1" applyBorder="1" applyAlignment="1">
      <alignment horizontal="center" vertical="center"/>
    </xf>
    <xf numFmtId="182" fontId="9" fillId="0" borderId="0" xfId="0" applyNumberFormat="1" applyFont="1" applyFill="1" applyBorder="1" applyAlignment="1">
      <alignment vertical="center"/>
    </xf>
    <xf numFmtId="0" fontId="9" fillId="0" borderId="0" xfId="0" applyFont="1" applyFill="1" applyBorder="1" applyAlignment="1">
      <alignment vertical="center"/>
    </xf>
    <xf numFmtId="176" fontId="7" fillId="0" borderId="1" xfId="43" applyNumberFormat="1" applyFont="1" applyFill="1" applyBorder="1" applyAlignment="1">
      <alignment horizontal="center" vertical="center" wrapText="1"/>
    </xf>
    <xf numFmtId="182" fontId="11" fillId="0" borderId="1" xfId="43" applyNumberFormat="1" applyFont="1" applyFill="1" applyBorder="1" applyAlignment="1">
      <alignment horizontal="center" vertical="center"/>
    </xf>
    <xf numFmtId="184" fontId="7" fillId="0" borderId="1" xfId="43" applyNumberFormat="1" applyFont="1" applyFill="1" applyBorder="1" applyAlignment="1">
      <alignment horizontal="center" vertical="center"/>
    </xf>
    <xf numFmtId="183" fontId="7" fillId="0" borderId="1" xfId="43" applyNumberFormat="1" applyFont="1" applyFill="1" applyBorder="1" applyAlignment="1">
      <alignment horizontal="center" vertical="center"/>
    </xf>
    <xf numFmtId="178" fontId="11" fillId="0" borderId="1" xfId="43" applyNumberFormat="1" applyFont="1" applyFill="1" applyBorder="1" applyAlignment="1">
      <alignment horizontal="center" vertical="center"/>
    </xf>
    <xf numFmtId="181" fontId="12" fillId="0" borderId="1" xfId="43"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1" xfId="67" applyNumberFormat="1" applyFont="1" applyFill="1" applyBorder="1" applyAlignment="1">
      <alignment horizontal="center" vertical="center"/>
    </xf>
    <xf numFmtId="185" fontId="1" fillId="0" borderId="1" xfId="43" applyNumberFormat="1" applyFont="1" applyFill="1" applyBorder="1" applyAlignment="1">
      <alignment horizontal="right" vertical="center"/>
    </xf>
    <xf numFmtId="0" fontId="13" fillId="0" borderId="1" xfId="0" applyFont="1" applyFill="1" applyBorder="1" applyAlignment="1">
      <alignment horizontal="center" vertical="center"/>
    </xf>
    <xf numFmtId="179" fontId="7" fillId="0" borderId="1" xfId="43" applyNumberFormat="1" applyFont="1" applyFill="1" applyBorder="1" applyAlignment="1">
      <alignment horizontal="center" vertical="center"/>
    </xf>
    <xf numFmtId="182" fontId="7" fillId="0" borderId="1" xfId="43" applyNumberFormat="1" applyFont="1" applyFill="1" applyBorder="1" applyAlignment="1">
      <alignment horizontal="right" vertical="center"/>
    </xf>
    <xf numFmtId="182" fontId="1" fillId="0" borderId="1" xfId="11" applyNumberFormat="1" applyFont="1" applyFill="1" applyBorder="1" applyAlignment="1">
      <alignment vertical="center"/>
    </xf>
    <xf numFmtId="178" fontId="8" fillId="0" borderId="0" xfId="0" applyNumberFormat="1" applyFont="1" applyFill="1" applyAlignment="1">
      <alignment horizontal="center" vertical="center"/>
    </xf>
    <xf numFmtId="178" fontId="1" fillId="0" borderId="0" xfId="43" applyNumberFormat="1" applyFont="1" applyFill="1" applyBorder="1" applyAlignment="1">
      <alignment horizontal="center"/>
    </xf>
    <xf numFmtId="4" fontId="7" fillId="0" borderId="1" xfId="43" applyNumberFormat="1" applyFont="1" applyFill="1" applyBorder="1" applyAlignment="1">
      <alignment horizontal="center" vertical="center" wrapText="1"/>
    </xf>
    <xf numFmtId="178" fontId="1" fillId="0" borderId="1" xfId="43" applyNumberFormat="1" applyFont="1" applyFill="1" applyBorder="1" applyAlignment="1">
      <alignment horizontal="center" vertical="center" wrapText="1"/>
    </xf>
    <xf numFmtId="4" fontId="1" fillId="0" borderId="1" xfId="43" applyNumberFormat="1" applyFont="1" applyFill="1" applyBorder="1" applyAlignment="1">
      <alignment horizontal="center" vertical="center" wrapText="1"/>
    </xf>
    <xf numFmtId="186" fontId="7" fillId="0" borderId="1" xfId="43" applyNumberFormat="1" applyFont="1" applyFill="1" applyBorder="1" applyAlignment="1">
      <alignment horizontal="center" vertical="center"/>
    </xf>
    <xf numFmtId="4" fontId="1" fillId="0" borderId="1" xfId="8" applyNumberFormat="1" applyFont="1" applyFill="1" applyBorder="1" applyAlignment="1">
      <alignment horizontal="center" vertical="center"/>
    </xf>
    <xf numFmtId="187" fontId="1" fillId="0" borderId="1" xfId="8" applyNumberFormat="1" applyFont="1" applyFill="1" applyBorder="1" applyAlignment="1">
      <alignment horizontal="center" vertical="center"/>
    </xf>
    <xf numFmtId="4" fontId="14" fillId="0" borderId="0" xfId="0" applyNumberFormat="1" applyFont="1" applyFill="1" applyBorder="1" applyAlignment="1">
      <alignment vertical="center"/>
    </xf>
    <xf numFmtId="4" fontId="15" fillId="0" borderId="1" xfId="43" applyNumberFormat="1" applyFont="1" applyFill="1" applyBorder="1" applyAlignment="1">
      <alignment horizontal="center" vertical="center" wrapText="1"/>
    </xf>
    <xf numFmtId="178" fontId="7" fillId="2" borderId="1" xfId="43" applyNumberFormat="1" applyFont="1" applyFill="1" applyBorder="1" applyAlignment="1">
      <alignment horizontal="center" vertical="center" wrapText="1"/>
    </xf>
    <xf numFmtId="178" fontId="7" fillId="0" borderId="0" xfId="43" applyNumberFormat="1" applyFont="1" applyFill="1" applyBorder="1" applyAlignment="1">
      <alignment horizontal="center" vertical="center" wrapText="1"/>
    </xf>
    <xf numFmtId="0" fontId="6" fillId="0" borderId="0" xfId="43" applyNumberFormat="1" applyFont="1" applyFill="1" applyBorder="1" applyAlignment="1">
      <alignment horizontal="center"/>
    </xf>
    <xf numFmtId="177" fontId="7" fillId="0" borderId="1" xfId="43" applyNumberFormat="1" applyFont="1" applyFill="1" applyBorder="1" applyAlignment="1">
      <alignment horizontal="center" vertical="center"/>
    </xf>
    <xf numFmtId="177" fontId="7" fillId="2" borderId="1" xfId="43" applyNumberFormat="1" applyFont="1" applyFill="1" applyBorder="1" applyAlignment="1">
      <alignment horizontal="center" vertical="center"/>
    </xf>
    <xf numFmtId="177" fontId="7" fillId="0" borderId="0" xfId="43" applyNumberFormat="1" applyFont="1" applyFill="1" applyBorder="1" applyAlignment="1">
      <alignment horizontal="center" vertical="center"/>
    </xf>
    <xf numFmtId="177" fontId="1" fillId="0" borderId="1" xfId="43" applyNumberFormat="1" applyFont="1" applyFill="1" applyBorder="1" applyAlignment="1">
      <alignment horizontal="center" vertical="center"/>
    </xf>
    <xf numFmtId="0" fontId="7" fillId="0" borderId="1" xfId="43" applyNumberFormat="1" applyFont="1" applyFill="1" applyBorder="1" applyAlignment="1">
      <alignment horizontal="center" vertical="center"/>
    </xf>
    <xf numFmtId="0" fontId="1" fillId="0" borderId="1" xfId="43" applyNumberFormat="1" applyFont="1" applyFill="1" applyBorder="1" applyAlignment="1">
      <alignment horizontal="center" vertical="center"/>
    </xf>
    <xf numFmtId="0" fontId="16" fillId="0" borderId="1" xfId="43" applyNumberFormat="1" applyFont="1" applyFill="1" applyBorder="1" applyAlignment="1">
      <alignment horizontal="center" vertical="center"/>
    </xf>
    <xf numFmtId="0" fontId="17" fillId="0" borderId="0" xfId="0" applyFont="1" applyFill="1" applyAlignment="1">
      <alignment horizontal="center" vertical="center"/>
    </xf>
    <xf numFmtId="0" fontId="18" fillId="0" borderId="0" xfId="0" applyFont="1" applyFill="1" applyAlignment="1">
      <alignment horizontal="center" vertical="center"/>
    </xf>
    <xf numFmtId="0" fontId="19" fillId="0" borderId="0" xfId="0" applyFont="1" applyFill="1">
      <alignment vertical="center"/>
    </xf>
    <xf numFmtId="0" fontId="20" fillId="0" borderId="0" xfId="0" applyFont="1" applyFill="1">
      <alignment vertical="center"/>
    </xf>
    <xf numFmtId="0" fontId="21" fillId="0" borderId="0" xfId="0" applyFont="1" applyFill="1" applyAlignment="1">
      <alignment vertical="center"/>
    </xf>
    <xf numFmtId="0" fontId="21" fillId="0" borderId="0" xfId="0" applyFont="1" applyFill="1" applyAlignment="1">
      <alignment horizontal="center" vertical="center"/>
    </xf>
    <xf numFmtId="178" fontId="21" fillId="0" borderId="0" xfId="43" applyNumberFormat="1" applyFont="1" applyFill="1" applyBorder="1" applyAlignment="1">
      <alignment horizontal="center"/>
    </xf>
    <xf numFmtId="188" fontId="21" fillId="0" borderId="0" xfId="43" applyNumberFormat="1" applyFont="1" applyFill="1" applyBorder="1" applyAlignment="1">
      <alignment horizontal="center"/>
    </xf>
    <xf numFmtId="177" fontId="21" fillId="0" borderId="0" xfId="43" applyNumberFormat="1" applyFont="1" applyFill="1" applyBorder="1" applyAlignment="1">
      <alignment horizontal="center"/>
    </xf>
    <xf numFmtId="182" fontId="21" fillId="0" borderId="0" xfId="43" applyNumberFormat="1" applyFont="1" applyFill="1" applyBorder="1" applyAlignment="1">
      <alignment horizontal="center"/>
    </xf>
    <xf numFmtId="180" fontId="21" fillId="0" borderId="0" xfId="43" applyNumberFormat="1" applyFont="1" applyFill="1" applyBorder="1" applyAlignment="1">
      <alignment horizontal="center"/>
    </xf>
    <xf numFmtId="188" fontId="21" fillId="0" borderId="0" xfId="43" applyNumberFormat="1" applyFont="1" applyFill="1" applyAlignment="1">
      <alignment horizontal="center"/>
    </xf>
    <xf numFmtId="177" fontId="21" fillId="0" borderId="0" xfId="43" applyNumberFormat="1" applyFont="1" applyFill="1" applyAlignment="1">
      <alignment horizontal="center"/>
    </xf>
    <xf numFmtId="43" fontId="21" fillId="0" borderId="0" xfId="43" applyNumberFormat="1" applyFont="1" applyFill="1" applyAlignment="1">
      <alignment horizontal="center"/>
    </xf>
    <xf numFmtId="182" fontId="21" fillId="0" borderId="0" xfId="43" applyNumberFormat="1" applyFont="1" applyFill="1" applyBorder="1" applyAlignment="1">
      <alignment horizontal="center" vertical="center"/>
    </xf>
    <xf numFmtId="188" fontId="21" fillId="0" borderId="0" xfId="43" applyNumberFormat="1" applyFont="1" applyFill="1" applyBorder="1" applyAlignment="1">
      <alignment horizontal="center" vertical="center"/>
    </xf>
    <xf numFmtId="177" fontId="21" fillId="0" borderId="0" xfId="43" applyNumberFormat="1" applyFont="1" applyFill="1" applyBorder="1" applyAlignment="1">
      <alignment horizontal="center" vertical="center"/>
    </xf>
    <xf numFmtId="180" fontId="21" fillId="0" borderId="0" xfId="43" applyNumberFormat="1" applyFont="1" applyFill="1" applyAlignment="1">
      <alignment horizontal="center"/>
    </xf>
    <xf numFmtId="188" fontId="21" fillId="0" borderId="0" xfId="0" applyNumberFormat="1" applyFont="1" applyFill="1" applyAlignment="1">
      <alignment horizontal="center" vertical="center"/>
    </xf>
    <xf numFmtId="177" fontId="21" fillId="0" borderId="0" xfId="0" applyNumberFormat="1" applyFont="1" applyFill="1" applyAlignment="1">
      <alignment horizontal="center" vertical="center"/>
    </xf>
    <xf numFmtId="0" fontId="21" fillId="0" borderId="0" xfId="0" applyFont="1" applyFill="1">
      <alignment vertical="center"/>
    </xf>
    <xf numFmtId="183" fontId="22" fillId="0" borderId="0" xfId="43" applyNumberFormat="1" applyFont="1" applyFill="1" applyBorder="1" applyAlignment="1"/>
    <xf numFmtId="0" fontId="21" fillId="0" borderId="0" xfId="43" applyNumberFormat="1" applyFont="1" applyFill="1" applyBorder="1" applyAlignment="1">
      <alignment horizontal="center" vertical="center"/>
    </xf>
    <xf numFmtId="0" fontId="23" fillId="0" borderId="0" xfId="0" applyFont="1" applyFill="1" applyAlignment="1">
      <alignment horizontal="center" vertical="center"/>
    </xf>
    <xf numFmtId="0" fontId="21" fillId="0" borderId="0" xfId="43" applyNumberFormat="1" applyFont="1" applyFill="1" applyBorder="1" applyAlignment="1"/>
    <xf numFmtId="178" fontId="24" fillId="0" borderId="0" xfId="0" applyNumberFormat="1" applyFont="1" applyFill="1" applyBorder="1" applyAlignment="1">
      <alignment horizontal="center" vertical="center"/>
    </xf>
    <xf numFmtId="188" fontId="24" fillId="0" borderId="0" xfId="0" applyNumberFormat="1" applyFont="1" applyFill="1" applyBorder="1" applyAlignment="1">
      <alignment horizontal="center" vertical="center"/>
    </xf>
    <xf numFmtId="177" fontId="24" fillId="0" borderId="0" xfId="0" applyNumberFormat="1" applyFont="1" applyFill="1" applyBorder="1" applyAlignment="1">
      <alignment horizontal="center" vertical="center"/>
    </xf>
    <xf numFmtId="177" fontId="24" fillId="0" borderId="0" xfId="0" applyNumberFormat="1" applyFont="1" applyFill="1" applyAlignment="1">
      <alignment horizontal="center" vertical="center"/>
    </xf>
    <xf numFmtId="0" fontId="5" fillId="0" borderId="1" xfId="43" applyNumberFormat="1" applyFont="1" applyFill="1" applyBorder="1" applyAlignment="1">
      <alignment horizontal="center" vertical="center" wrapText="1"/>
    </xf>
    <xf numFmtId="178" fontId="5" fillId="0" borderId="1" xfId="43" applyNumberFormat="1" applyFont="1" applyFill="1" applyBorder="1" applyAlignment="1">
      <alignment horizontal="center" vertical="center" wrapText="1"/>
    </xf>
    <xf numFmtId="188" fontId="25" fillId="0" borderId="1" xfId="43" applyNumberFormat="1" applyFont="1" applyFill="1" applyBorder="1" applyAlignment="1">
      <alignment horizontal="center" vertical="center" wrapText="1"/>
    </xf>
    <xf numFmtId="177" fontId="25" fillId="0" borderId="1" xfId="43" applyNumberFormat="1" applyFont="1" applyFill="1" applyBorder="1" applyAlignment="1">
      <alignment horizontal="center" vertical="center" wrapText="1"/>
    </xf>
    <xf numFmtId="177" fontId="5" fillId="0" borderId="1" xfId="43" applyNumberFormat="1" applyFont="1" applyFill="1" applyBorder="1" applyAlignment="1">
      <alignment horizontal="center" vertical="center" wrapText="1"/>
    </xf>
    <xf numFmtId="0" fontId="20" fillId="0" borderId="1" xfId="43" applyNumberFormat="1" applyFont="1" applyFill="1" applyBorder="1" applyAlignment="1">
      <alignment horizontal="center" vertical="center" wrapText="1"/>
    </xf>
    <xf numFmtId="188" fontId="16" fillId="0" borderId="1" xfId="43" applyNumberFormat="1" applyFont="1" applyFill="1" applyBorder="1" applyAlignment="1">
      <alignment horizontal="center" vertical="center" wrapText="1"/>
    </xf>
    <xf numFmtId="188" fontId="16" fillId="0" borderId="4" xfId="43" applyNumberFormat="1" applyFont="1" applyFill="1" applyBorder="1" applyAlignment="1">
      <alignment horizontal="center" vertical="center" wrapText="1"/>
    </xf>
    <xf numFmtId="177" fontId="16" fillId="0" borderId="1" xfId="43" applyNumberFormat="1" applyFont="1" applyFill="1" applyBorder="1" applyAlignment="1">
      <alignment horizontal="center" vertical="center" wrapText="1"/>
    </xf>
    <xf numFmtId="0" fontId="19" fillId="0" borderId="1" xfId="43" applyNumberFormat="1" applyFont="1" applyFill="1" applyBorder="1" applyAlignment="1">
      <alignment horizontal="center" vertical="center" wrapText="1"/>
    </xf>
    <xf numFmtId="188" fontId="26" fillId="0" borderId="1" xfId="43" applyNumberFormat="1" applyFont="1" applyFill="1" applyBorder="1" applyAlignment="1">
      <alignment horizontal="center" vertical="center" wrapText="1"/>
    </xf>
    <xf numFmtId="177" fontId="19" fillId="0" borderId="1" xfId="43" applyNumberFormat="1" applyFont="1" applyFill="1" applyBorder="1" applyAlignment="1">
      <alignment horizontal="center" vertical="center" wrapText="1"/>
    </xf>
    <xf numFmtId="182" fontId="26" fillId="0" borderId="1" xfId="43" applyNumberFormat="1" applyFont="1" applyFill="1" applyBorder="1" applyAlignment="1">
      <alignment horizontal="center" vertical="center" wrapText="1"/>
    </xf>
    <xf numFmtId="0" fontId="16" fillId="0" borderId="1" xfId="0" applyFont="1" applyFill="1" applyBorder="1" applyAlignment="1">
      <alignment horizontal="center" vertical="center"/>
    </xf>
    <xf numFmtId="0" fontId="27" fillId="0" borderId="1" xfId="43" applyNumberFormat="1" applyFont="1" applyFill="1" applyBorder="1" applyAlignment="1">
      <alignment horizontal="center" vertical="center" wrapText="1"/>
    </xf>
    <xf numFmtId="182" fontId="27" fillId="0" borderId="1" xfId="43" applyNumberFormat="1" applyFont="1" applyFill="1" applyBorder="1" applyAlignment="1">
      <alignment horizontal="center" vertical="center"/>
    </xf>
    <xf numFmtId="188" fontId="27" fillId="0" borderId="1" xfId="43" applyNumberFormat="1" applyFont="1" applyFill="1" applyBorder="1" applyAlignment="1">
      <alignment horizontal="center" vertical="center"/>
    </xf>
    <xf numFmtId="177" fontId="27" fillId="0" borderId="1" xfId="43" applyNumberFormat="1" applyFont="1" applyFill="1" applyBorder="1" applyAlignment="1">
      <alignment horizontal="center" vertical="center"/>
    </xf>
    <xf numFmtId="182" fontId="27" fillId="0" borderId="1" xfId="8" applyNumberFormat="1" applyFont="1" applyFill="1" applyBorder="1" applyAlignment="1">
      <alignment horizontal="center" vertical="center"/>
    </xf>
    <xf numFmtId="0" fontId="16" fillId="0" borderId="1" xfId="0" applyFont="1" applyFill="1" applyBorder="1" applyAlignment="1">
      <alignment horizontal="center" vertical="center" wrapText="1"/>
    </xf>
    <xf numFmtId="176" fontId="21" fillId="0" borderId="1" xfId="55" applyNumberFormat="1" applyFont="1" applyFill="1" applyBorder="1" applyAlignment="1">
      <alignment horizontal="center" vertical="center" wrapText="1"/>
    </xf>
    <xf numFmtId="9" fontId="28" fillId="0" borderId="1" xfId="0" applyNumberFormat="1" applyFont="1" applyFill="1" applyBorder="1" applyAlignment="1">
      <alignment horizontal="center" vertical="center" wrapText="1"/>
    </xf>
    <xf numFmtId="0" fontId="29" fillId="0" borderId="1" xfId="55" applyNumberFormat="1" applyFont="1" applyFill="1" applyBorder="1" applyAlignment="1">
      <alignment horizontal="center" vertical="center" wrapText="1"/>
    </xf>
    <xf numFmtId="188" fontId="29" fillId="0" borderId="1" xfId="43" applyNumberFormat="1" applyFont="1" applyFill="1" applyBorder="1" applyAlignment="1">
      <alignment horizontal="center" vertical="center"/>
    </xf>
    <xf numFmtId="188" fontId="29" fillId="0" borderId="1" xfId="43" applyNumberFormat="1" applyFont="1" applyFill="1" applyBorder="1" applyAlignment="1">
      <alignment horizontal="center" vertical="center" wrapText="1"/>
    </xf>
    <xf numFmtId="188" fontId="29" fillId="0" borderId="1" xfId="8" applyNumberFormat="1" applyFont="1" applyFill="1" applyBorder="1" applyAlignment="1">
      <alignment horizontal="center" vertical="center"/>
    </xf>
    <xf numFmtId="177" fontId="29" fillId="0" borderId="1" xfId="43" applyNumberFormat="1" applyFont="1" applyFill="1" applyBorder="1" applyAlignment="1">
      <alignment horizontal="center" vertical="center"/>
    </xf>
    <xf numFmtId="183" fontId="29" fillId="0" borderId="1" xfId="0" applyNumberFormat="1" applyFont="1" applyFill="1" applyBorder="1" applyAlignment="1">
      <alignment horizontal="center" vertical="center"/>
    </xf>
    <xf numFmtId="9" fontId="30" fillId="0" borderId="1" xfId="43" applyNumberFormat="1" applyFont="1" applyFill="1" applyBorder="1" applyAlignment="1">
      <alignment horizontal="center" vertical="center" wrapText="1"/>
    </xf>
    <xf numFmtId="9" fontId="30" fillId="0" borderId="1" xfId="43" applyNumberFormat="1" applyFont="1" applyFill="1" applyBorder="1" applyAlignment="1">
      <alignment horizontal="center" vertical="center"/>
    </xf>
    <xf numFmtId="0" fontId="16" fillId="0" borderId="5" xfId="0" applyFont="1" applyFill="1" applyBorder="1" applyAlignment="1">
      <alignment horizontal="center" vertical="center" wrapText="1"/>
    </xf>
    <xf numFmtId="0" fontId="27" fillId="0" borderId="1" xfId="43" applyNumberFormat="1" applyFont="1" applyFill="1" applyBorder="1" applyAlignment="1">
      <alignment horizontal="center" vertical="center"/>
    </xf>
    <xf numFmtId="183" fontId="27" fillId="0" borderId="1" xfId="43" applyNumberFormat="1" applyFont="1" applyFill="1" applyBorder="1" applyAlignment="1">
      <alignment horizontal="center" vertical="center" wrapText="1"/>
    </xf>
    <xf numFmtId="188" fontId="27" fillId="0" borderId="1" xfId="43" applyNumberFormat="1" applyFont="1" applyFill="1" applyBorder="1" applyAlignment="1">
      <alignment horizontal="center" vertical="center" wrapText="1"/>
    </xf>
    <xf numFmtId="177" fontId="27" fillId="0" borderId="1" xfId="43" applyNumberFormat="1" applyFont="1" applyFill="1" applyBorder="1" applyAlignment="1">
      <alignment horizontal="center" vertical="center" wrapText="1"/>
    </xf>
    <xf numFmtId="0" fontId="29" fillId="0" borderId="1" xfId="0" applyFont="1" applyFill="1" applyBorder="1" applyAlignment="1">
      <alignment horizontal="center" vertical="center"/>
    </xf>
    <xf numFmtId="0" fontId="26" fillId="0" borderId="0" xfId="0" applyFont="1" applyFill="1" applyAlignment="1">
      <alignment horizontal="center" vertical="center"/>
    </xf>
    <xf numFmtId="0" fontId="21" fillId="0" borderId="0" xfId="43" applyNumberFormat="1" applyFont="1" applyFill="1" applyBorder="1" applyAlignment="1">
      <alignment horizontal="center"/>
    </xf>
    <xf numFmtId="0" fontId="24" fillId="0" borderId="0" xfId="0" applyFont="1" applyFill="1" applyAlignment="1">
      <alignment vertical="center"/>
    </xf>
    <xf numFmtId="177" fontId="4" fillId="0" borderId="0" xfId="43" applyNumberFormat="1" applyFont="1" applyFill="1" applyBorder="1" applyAlignment="1">
      <alignment horizontal="center" vertical="top"/>
    </xf>
    <xf numFmtId="182" fontId="24" fillId="0" borderId="0" xfId="0" applyNumberFormat="1" applyFont="1" applyFill="1" applyBorder="1" applyAlignment="1">
      <alignment horizontal="center" vertical="center"/>
    </xf>
    <xf numFmtId="0" fontId="24" fillId="0" borderId="0" xfId="0" applyFont="1" applyFill="1" applyBorder="1" applyAlignment="1">
      <alignment horizontal="center" vertical="center"/>
    </xf>
    <xf numFmtId="182" fontId="5" fillId="0" borderId="1" xfId="43" applyNumberFormat="1" applyFont="1" applyFill="1" applyBorder="1" applyAlignment="1">
      <alignment horizontal="center" vertical="center" wrapText="1"/>
    </xf>
    <xf numFmtId="182" fontId="25" fillId="0" borderId="1" xfId="43" applyNumberFormat="1" applyFont="1" applyFill="1" applyBorder="1" applyAlignment="1">
      <alignment horizontal="center" vertical="center" wrapText="1"/>
    </xf>
    <xf numFmtId="177" fontId="20" fillId="0" borderId="1" xfId="43" applyNumberFormat="1" applyFont="1" applyFill="1" applyBorder="1" applyAlignment="1">
      <alignment horizontal="center" vertical="center" wrapText="1"/>
    </xf>
    <xf numFmtId="177" fontId="16" fillId="0" borderId="4" xfId="43" applyNumberFormat="1" applyFont="1" applyFill="1" applyBorder="1" applyAlignment="1">
      <alignment horizontal="center" vertical="center" wrapText="1"/>
    </xf>
    <xf numFmtId="188" fontId="27" fillId="0" borderId="1" xfId="0" applyNumberFormat="1" applyFont="1" applyFill="1" applyBorder="1" applyAlignment="1">
      <alignment horizontal="center" vertical="center" wrapText="1"/>
    </xf>
    <xf numFmtId="178" fontId="27" fillId="0" borderId="1" xfId="43" applyNumberFormat="1" applyFont="1" applyFill="1" applyBorder="1" applyAlignment="1">
      <alignment horizontal="center" vertical="center"/>
    </xf>
    <xf numFmtId="177" fontId="27" fillId="0" borderId="1" xfId="8" applyNumberFormat="1" applyFont="1" applyFill="1" applyBorder="1" applyAlignment="1">
      <alignment horizontal="center" vertical="center"/>
    </xf>
    <xf numFmtId="0" fontId="29" fillId="0" borderId="1" xfId="0" applyFont="1" applyFill="1" applyBorder="1" applyAlignment="1">
      <alignment horizontal="center" vertical="center" wrapText="1"/>
    </xf>
    <xf numFmtId="180" fontId="29" fillId="0" borderId="1" xfId="43" applyNumberFormat="1" applyFont="1" applyFill="1" applyBorder="1" applyAlignment="1">
      <alignment horizontal="center" vertical="center"/>
    </xf>
    <xf numFmtId="188" fontId="29" fillId="0" borderId="6" xfId="8" applyNumberFormat="1" applyFont="1" applyFill="1" applyBorder="1" applyAlignment="1">
      <alignment horizontal="center" vertical="center"/>
    </xf>
    <xf numFmtId="177" fontId="29" fillId="0" borderId="1" xfId="8" applyNumberFormat="1" applyFont="1" applyFill="1" applyBorder="1" applyAlignment="1">
      <alignment horizontal="center" vertical="center"/>
    </xf>
    <xf numFmtId="180" fontId="27" fillId="0" borderId="1" xfId="43" applyNumberFormat="1" applyFont="1" applyFill="1" applyBorder="1" applyAlignment="1">
      <alignment horizontal="center" vertical="center"/>
    </xf>
    <xf numFmtId="188" fontId="27" fillId="0" borderId="1" xfId="8" applyNumberFormat="1" applyFont="1" applyFill="1" applyBorder="1" applyAlignment="1">
      <alignment horizontal="center" vertical="center"/>
    </xf>
    <xf numFmtId="181" fontId="27" fillId="0" borderId="1" xfId="43" applyNumberFormat="1" applyFont="1" applyFill="1" applyBorder="1" applyAlignment="1">
      <alignment horizontal="center" vertical="center" wrapText="1"/>
    </xf>
    <xf numFmtId="182" fontId="21" fillId="0" borderId="1" xfId="43" applyNumberFormat="1" applyFont="1" applyFill="1" applyBorder="1" applyAlignment="1">
      <alignment horizontal="center" vertical="center" wrapText="1"/>
    </xf>
    <xf numFmtId="188" fontId="21" fillId="0" borderId="1" xfId="43" applyNumberFormat="1" applyFont="1" applyFill="1" applyBorder="1" applyAlignment="1">
      <alignment horizontal="center" vertical="center" wrapText="1"/>
    </xf>
    <xf numFmtId="178" fontId="19" fillId="0" borderId="1" xfId="43" applyNumberFormat="1" applyFont="1" applyFill="1" applyBorder="1" applyAlignment="1">
      <alignment horizontal="center" vertical="center" wrapText="1"/>
    </xf>
    <xf numFmtId="0" fontId="27" fillId="0" borderId="1" xfId="0" applyFont="1" applyFill="1" applyBorder="1" applyAlignment="1">
      <alignment horizontal="center" vertical="center"/>
    </xf>
    <xf numFmtId="0" fontId="5" fillId="0" borderId="1" xfId="43" applyNumberFormat="1" applyFont="1" applyFill="1" applyBorder="1" applyAlignment="1">
      <alignment horizontal="center" vertical="center"/>
    </xf>
    <xf numFmtId="183" fontId="27" fillId="0" borderId="1" xfId="0" applyNumberFormat="1" applyFont="1" applyFill="1" applyBorder="1" applyAlignment="1">
      <alignment horizontal="center" vertical="center"/>
    </xf>
    <xf numFmtId="183" fontId="29" fillId="0" borderId="1" xfId="55" applyNumberFormat="1" applyFont="1" applyFill="1" applyBorder="1" applyAlignment="1">
      <alignment horizontal="center" vertical="center" wrapText="1"/>
    </xf>
    <xf numFmtId="180" fontId="29" fillId="0" borderId="1" xfId="43" applyNumberFormat="1" applyFont="1" applyFill="1" applyBorder="1" applyAlignment="1">
      <alignment horizontal="center"/>
    </xf>
    <xf numFmtId="176" fontId="27" fillId="0" borderId="1" xfId="43" applyNumberFormat="1" applyFont="1" applyFill="1" applyBorder="1" applyAlignment="1">
      <alignment horizontal="center" vertical="center"/>
    </xf>
    <xf numFmtId="183" fontId="30" fillId="0" borderId="1" xfId="55" applyNumberFormat="1" applyFont="1" applyFill="1" applyBorder="1" applyAlignment="1">
      <alignment horizontal="center" vertical="center" wrapText="1"/>
    </xf>
    <xf numFmtId="0" fontId="29" fillId="0" borderId="1" xfId="43" applyNumberFormat="1" applyFont="1" applyFill="1" applyBorder="1" applyAlignment="1">
      <alignment horizontal="center" vertical="center"/>
    </xf>
    <xf numFmtId="0" fontId="29" fillId="0" borderId="1" xfId="43" applyNumberFormat="1" applyFont="1" applyFill="1" applyBorder="1" applyAlignment="1">
      <alignment horizontal="center"/>
    </xf>
    <xf numFmtId="182" fontId="26" fillId="0" borderId="0" xfId="0" applyNumberFormat="1" applyFont="1" applyFill="1" applyAlignment="1">
      <alignment horizontal="center" vertical="center"/>
    </xf>
    <xf numFmtId="188" fontId="24" fillId="0" borderId="0" xfId="0" applyNumberFormat="1" applyFont="1" applyFill="1" applyAlignment="1">
      <alignment vertical="center"/>
    </xf>
    <xf numFmtId="0" fontId="25" fillId="0" borderId="1" xfId="43" applyNumberFormat="1" applyFont="1" applyFill="1" applyBorder="1" applyAlignment="1">
      <alignment horizontal="center" vertical="center"/>
    </xf>
    <xf numFmtId="0" fontId="16" fillId="0" borderId="1" xfId="43" applyNumberFormat="1" applyFont="1" applyFill="1" applyBorder="1" applyAlignment="1">
      <alignment horizontal="center" vertical="center" wrapText="1"/>
    </xf>
    <xf numFmtId="182" fontId="26" fillId="0" borderId="1" xfId="0" applyNumberFormat="1" applyFont="1" applyFill="1" applyBorder="1" applyAlignment="1">
      <alignment horizontal="center" vertical="center"/>
    </xf>
    <xf numFmtId="183" fontId="31" fillId="0" borderId="1" xfId="79" applyNumberFormat="1" applyFont="1" applyFill="1" applyBorder="1" applyAlignment="1">
      <alignment horizontal="center" vertical="center" wrapText="1"/>
    </xf>
    <xf numFmtId="0" fontId="29" fillId="0" borderId="1" xfId="43" applyNumberFormat="1" applyFont="1" applyFill="1" applyBorder="1" applyAlignment="1">
      <alignment horizontal="center" vertical="center" wrapText="1"/>
    </xf>
    <xf numFmtId="179" fontId="27" fillId="0" borderId="1" xfId="43" applyNumberFormat="1" applyFont="1" applyFill="1" applyBorder="1" applyAlignment="1">
      <alignment horizontal="center" vertical="center"/>
    </xf>
    <xf numFmtId="0" fontId="29" fillId="0" borderId="1" xfId="43" applyNumberFormat="1" applyFont="1" applyFill="1" applyBorder="1" applyAlignment="1">
      <alignment horizontal="center" wrapText="1"/>
    </xf>
    <xf numFmtId="43" fontId="21" fillId="0" borderId="0" xfId="43" applyNumberFormat="1" applyFont="1" applyFill="1" applyBorder="1" applyAlignment="1">
      <alignment horizontal="center"/>
    </xf>
    <xf numFmtId="177" fontId="24" fillId="0" borderId="0" xfId="0" applyNumberFormat="1" applyFont="1" applyFill="1" applyAlignment="1">
      <alignment vertical="center"/>
    </xf>
    <xf numFmtId="43" fontId="24" fillId="0" borderId="0" xfId="0" applyNumberFormat="1" applyFont="1" applyFill="1" applyAlignment="1">
      <alignment vertical="center"/>
    </xf>
    <xf numFmtId="43" fontId="24" fillId="0" borderId="0" xfId="0" applyNumberFormat="1" applyFont="1" applyFill="1" applyBorder="1" applyAlignment="1">
      <alignment horizontal="center" vertical="center"/>
    </xf>
    <xf numFmtId="177" fontId="25" fillId="0" borderId="1" xfId="43" applyNumberFormat="1" applyFont="1" applyFill="1" applyBorder="1" applyAlignment="1">
      <alignment horizontal="center" vertical="center"/>
    </xf>
    <xf numFmtId="182" fontId="16" fillId="0" borderId="1" xfId="0" applyNumberFormat="1" applyFont="1" applyFill="1" applyBorder="1" applyAlignment="1">
      <alignment horizontal="center" vertical="center" wrapText="1"/>
    </xf>
    <xf numFmtId="176" fontId="16" fillId="0" borderId="1" xfId="43" applyNumberFormat="1" applyFont="1" applyFill="1" applyBorder="1" applyAlignment="1">
      <alignment horizontal="center" vertical="center" wrapText="1"/>
    </xf>
    <xf numFmtId="177" fontId="29" fillId="0" borderId="1" xfId="43" applyNumberFormat="1" applyFont="1" applyFill="1" applyBorder="1" applyAlignment="1">
      <alignment horizontal="center" vertical="center" wrapText="1"/>
    </xf>
    <xf numFmtId="0" fontId="16" fillId="0" borderId="0" xfId="0" applyFont="1" applyFill="1" applyAlignment="1">
      <alignment horizontal="center" vertical="center"/>
    </xf>
    <xf numFmtId="182" fontId="21" fillId="0" borderId="1" xfId="0" applyNumberFormat="1" applyFont="1" applyFill="1" applyBorder="1" applyAlignment="1">
      <alignment horizontal="center" vertical="center"/>
    </xf>
    <xf numFmtId="188" fontId="29" fillId="0" borderId="1" xfId="0" applyNumberFormat="1" applyFont="1" applyFill="1" applyBorder="1" applyAlignment="1">
      <alignment horizontal="center" vertical="center"/>
    </xf>
    <xf numFmtId="182" fontId="24" fillId="0" borderId="0" xfId="0" applyNumberFormat="1" applyFont="1" applyFill="1" applyAlignment="1">
      <alignment vertical="center"/>
    </xf>
    <xf numFmtId="182" fontId="16" fillId="0" borderId="1" xfId="43" applyNumberFormat="1" applyFont="1" applyFill="1" applyBorder="1" applyAlignment="1">
      <alignment horizontal="center" vertical="center" wrapText="1"/>
    </xf>
    <xf numFmtId="188" fontId="19" fillId="0" borderId="1" xfId="43" applyNumberFormat="1" applyFont="1" applyFill="1" applyBorder="1" applyAlignment="1">
      <alignment horizontal="center" vertical="center" wrapText="1"/>
    </xf>
    <xf numFmtId="182" fontId="29" fillId="0" borderId="1" xfId="76" applyNumberFormat="1" applyFont="1" applyFill="1" applyBorder="1" applyAlignment="1">
      <alignment horizontal="center" vertical="center"/>
    </xf>
    <xf numFmtId="182" fontId="29" fillId="0" borderId="1" xfId="76" applyNumberFormat="1" applyFont="1" applyFill="1" applyBorder="1" applyAlignment="1">
      <alignment horizontal="center" vertical="center" wrapText="1"/>
    </xf>
    <xf numFmtId="182" fontId="29" fillId="0" borderId="1" xfId="43" applyNumberFormat="1" applyFont="1" applyFill="1" applyBorder="1" applyAlignment="1">
      <alignment horizontal="center"/>
    </xf>
    <xf numFmtId="182" fontId="27" fillId="0" borderId="0" xfId="43" applyNumberFormat="1" applyFont="1" applyFill="1" applyBorder="1" applyAlignment="1">
      <alignment horizontal="center"/>
    </xf>
    <xf numFmtId="188" fontId="27" fillId="0" borderId="0" xfId="43" applyNumberFormat="1" applyFont="1" applyFill="1" applyBorder="1" applyAlignment="1">
      <alignment horizontal="center"/>
    </xf>
    <xf numFmtId="182" fontId="29" fillId="0" borderId="1" xfId="78" applyNumberFormat="1" applyFont="1" applyFill="1" applyBorder="1" applyAlignment="1">
      <alignment horizontal="center" vertical="center"/>
    </xf>
    <xf numFmtId="182" fontId="29" fillId="0" borderId="1" xfId="0" applyNumberFormat="1" applyFont="1" applyFill="1" applyBorder="1" applyAlignment="1">
      <alignment horizontal="center" vertical="center"/>
    </xf>
    <xf numFmtId="182" fontId="29" fillId="0" borderId="1" xfId="55" applyNumberFormat="1" applyFont="1" applyFill="1" applyBorder="1" applyAlignment="1">
      <alignment horizontal="center" vertical="center"/>
    </xf>
    <xf numFmtId="182" fontId="32" fillId="0" borderId="1" xfId="43" applyNumberFormat="1" applyFont="1" applyFill="1" applyBorder="1" applyAlignment="1">
      <alignment horizontal="center" vertical="center" wrapText="1"/>
    </xf>
    <xf numFmtId="182" fontId="32" fillId="0" borderId="1" xfId="0" applyNumberFormat="1" applyFont="1" applyFill="1" applyBorder="1" applyAlignment="1">
      <alignment horizontal="center" vertical="center" wrapText="1"/>
    </xf>
    <xf numFmtId="182" fontId="33" fillId="0" borderId="1" xfId="0" applyNumberFormat="1" applyFont="1" applyFill="1" applyBorder="1" applyAlignment="1">
      <alignment horizontal="center" vertical="center" wrapText="1"/>
    </xf>
    <xf numFmtId="182" fontId="32" fillId="0" borderId="1" xfId="19" applyNumberFormat="1" applyFont="1" applyFill="1" applyBorder="1" applyAlignment="1">
      <alignment horizontal="center" vertical="center" wrapText="1"/>
    </xf>
    <xf numFmtId="188" fontId="21" fillId="0" borderId="1" xfId="0" applyNumberFormat="1" applyFont="1" applyFill="1" applyBorder="1" applyAlignment="1">
      <alignment horizontal="left" vertical="center" wrapText="1"/>
    </xf>
    <xf numFmtId="182" fontId="29" fillId="0" borderId="1" xfId="43" applyNumberFormat="1" applyFont="1" applyFill="1" applyBorder="1" applyAlignment="1">
      <alignment horizontal="center" vertical="center"/>
    </xf>
    <xf numFmtId="177" fontId="27" fillId="0" borderId="0" xfId="43" applyNumberFormat="1" applyFont="1" applyFill="1" applyBorder="1" applyAlignment="1">
      <alignment horizontal="center"/>
    </xf>
    <xf numFmtId="182" fontId="27" fillId="0" borderId="1" xfId="43" applyNumberFormat="1" applyFont="1" applyFill="1" applyBorder="1" applyAlignment="1">
      <alignment horizontal="center" vertical="center" wrapText="1"/>
    </xf>
    <xf numFmtId="182" fontId="29" fillId="0" borderId="1" xfId="43" applyNumberFormat="1" applyFont="1" applyFill="1" applyBorder="1" applyAlignment="1">
      <alignment horizontal="center" vertical="center" wrapText="1"/>
    </xf>
    <xf numFmtId="183" fontId="21" fillId="0" borderId="0" xfId="43" applyNumberFormat="1" applyFont="1" applyFill="1" applyBorder="1" applyAlignment="1">
      <alignment horizontal="center"/>
    </xf>
    <xf numFmtId="0" fontId="25" fillId="0" borderId="1" xfId="43" applyNumberFormat="1" applyFont="1" applyFill="1" applyBorder="1" applyAlignment="1">
      <alignment horizontal="center" vertical="center" wrapText="1"/>
    </xf>
    <xf numFmtId="177" fontId="32" fillId="0" borderId="4" xfId="43" applyNumberFormat="1" applyFont="1" applyFill="1" applyBorder="1" applyAlignment="1">
      <alignment horizontal="center" vertical="center" wrapText="1"/>
    </xf>
    <xf numFmtId="188" fontId="21" fillId="0" borderId="1" xfId="43" applyNumberFormat="1" applyFont="1" applyFill="1" applyBorder="1" applyAlignment="1">
      <alignment horizontal="center" vertical="center"/>
    </xf>
    <xf numFmtId="188" fontId="26" fillId="0" borderId="1" xfId="0" applyNumberFormat="1" applyFont="1" applyFill="1" applyBorder="1" applyAlignment="1">
      <alignment horizontal="center" vertical="center" wrapText="1"/>
    </xf>
    <xf numFmtId="0" fontId="21" fillId="0" borderId="1" xfId="43" applyNumberFormat="1" applyFont="1" applyFill="1" applyBorder="1" applyAlignment="1">
      <alignment horizontal="left" vertical="center" wrapText="1"/>
    </xf>
    <xf numFmtId="0" fontId="21" fillId="0" borderId="1" xfId="43" applyNumberFormat="1" applyFont="1" applyFill="1" applyBorder="1" applyAlignment="1">
      <alignment horizontal="center" vertical="center" wrapText="1"/>
    </xf>
    <xf numFmtId="0" fontId="27" fillId="0" borderId="1" xfId="55" applyNumberFormat="1" applyFont="1" applyFill="1" applyBorder="1" applyAlignment="1">
      <alignment horizontal="center" vertical="center" wrapText="1"/>
    </xf>
    <xf numFmtId="178" fontId="16" fillId="0" borderId="1" xfId="43" applyNumberFormat="1" applyFont="1" applyFill="1" applyBorder="1" applyAlignment="1">
      <alignment horizontal="center" vertical="center" wrapText="1"/>
    </xf>
    <xf numFmtId="178" fontId="20" fillId="0" borderId="1" xfId="43" applyNumberFormat="1" applyFont="1" applyFill="1" applyBorder="1" applyAlignment="1">
      <alignment horizontal="center" vertical="center" wrapText="1"/>
    </xf>
    <xf numFmtId="177" fontId="32" fillId="0" borderId="1" xfId="43" applyNumberFormat="1" applyFont="1" applyFill="1" applyBorder="1" applyAlignment="1">
      <alignment horizontal="center" vertical="center" wrapText="1"/>
    </xf>
    <xf numFmtId="183" fontId="27" fillId="0" borderId="1" xfId="8" applyNumberFormat="1" applyFont="1" applyFill="1" applyBorder="1" applyAlignment="1">
      <alignment horizontal="center" vertical="center"/>
    </xf>
    <xf numFmtId="182" fontId="29" fillId="0" borderId="1" xfId="8" applyNumberFormat="1" applyFont="1" applyFill="1" applyBorder="1" applyAlignment="1">
      <alignment horizontal="center" vertical="center"/>
    </xf>
    <xf numFmtId="182" fontId="29" fillId="0" borderId="1" xfId="80" applyNumberFormat="1" applyFont="1" applyFill="1" applyBorder="1" applyAlignment="1">
      <alignment horizontal="center" vertical="center" wrapText="1"/>
    </xf>
    <xf numFmtId="188" fontId="24" fillId="0" borderId="0" xfId="0" applyNumberFormat="1" applyFont="1" applyFill="1" applyAlignment="1">
      <alignment horizontal="center" vertical="center"/>
    </xf>
    <xf numFmtId="177" fontId="5" fillId="0" borderId="5" xfId="43" applyNumberFormat="1" applyFont="1" applyFill="1" applyBorder="1" applyAlignment="1">
      <alignment horizontal="center" vertical="center" wrapText="1"/>
    </xf>
    <xf numFmtId="188" fontId="25" fillId="0" borderId="7" xfId="43" applyNumberFormat="1" applyFont="1" applyFill="1" applyBorder="1" applyAlignment="1">
      <alignment horizontal="center" vertical="center" wrapText="1"/>
    </xf>
    <xf numFmtId="177" fontId="16" fillId="0" borderId="1" xfId="8" applyNumberFormat="1" applyFont="1" applyFill="1" applyBorder="1" applyAlignment="1">
      <alignment horizontal="center" vertical="center" wrapText="1"/>
    </xf>
    <xf numFmtId="183" fontId="20" fillId="0" borderId="1" xfId="8" applyNumberFormat="1" applyFont="1" applyFill="1" applyBorder="1" applyAlignment="1">
      <alignment horizontal="center" vertical="center" wrapText="1"/>
    </xf>
    <xf numFmtId="188" fontId="16" fillId="0" borderId="1" xfId="8" applyNumberFormat="1" applyFont="1" applyFill="1" applyBorder="1" applyAlignment="1">
      <alignment horizontal="center" vertical="center" wrapText="1"/>
    </xf>
    <xf numFmtId="177" fontId="19" fillId="0" borderId="1" xfId="8" applyNumberFormat="1" applyFont="1" applyFill="1" applyBorder="1" applyAlignment="1">
      <alignment horizontal="center" vertical="center" wrapText="1"/>
    </xf>
    <xf numFmtId="177" fontId="27" fillId="0" borderId="1" xfId="8" applyNumberFormat="1" applyFont="1" applyFill="1" applyBorder="1" applyAlignment="1">
      <alignment horizontal="center" vertical="center" wrapText="1"/>
    </xf>
    <xf numFmtId="182" fontId="29" fillId="0" borderId="1" xfId="75" applyNumberFormat="1" applyFont="1" applyFill="1" applyBorder="1" applyAlignment="1">
      <alignment horizontal="center" vertical="center" wrapText="1"/>
    </xf>
    <xf numFmtId="177" fontId="29" fillId="0" borderId="1" xfId="8" applyNumberFormat="1" applyFont="1" applyFill="1" applyBorder="1" applyAlignment="1">
      <alignment horizontal="center" vertical="center" wrapText="1"/>
    </xf>
    <xf numFmtId="183" fontId="29" fillId="0" borderId="1" xfId="8" applyNumberFormat="1" applyFont="1" applyFill="1" applyBorder="1" applyAlignment="1">
      <alignment horizontal="center" vertical="center" wrapText="1"/>
    </xf>
    <xf numFmtId="188" fontId="29" fillId="0" borderId="1" xfId="8" applyNumberFormat="1" applyFont="1" applyFill="1" applyBorder="1" applyAlignment="1">
      <alignment horizontal="center" vertical="center" wrapText="1"/>
    </xf>
    <xf numFmtId="183" fontId="27" fillId="0" borderId="1" xfId="8" applyNumberFormat="1" applyFont="1" applyFill="1" applyBorder="1" applyAlignment="1">
      <alignment horizontal="center" vertical="center" wrapText="1"/>
    </xf>
    <xf numFmtId="188" fontId="27" fillId="0" borderId="1" xfId="8" applyNumberFormat="1" applyFont="1" applyFill="1" applyBorder="1" applyAlignment="1">
      <alignment horizontal="center" vertical="center" wrapText="1"/>
    </xf>
    <xf numFmtId="183" fontId="29" fillId="0" borderId="6" xfId="8" applyNumberFormat="1" applyFont="1" applyFill="1" applyBorder="1" applyAlignment="1">
      <alignment horizontal="center" vertical="center" wrapText="1"/>
    </xf>
    <xf numFmtId="188" fontId="29" fillId="0" borderId="6" xfId="8" applyNumberFormat="1" applyFont="1" applyFill="1" applyBorder="1" applyAlignment="1">
      <alignment horizontal="center" vertical="center" wrapText="1"/>
    </xf>
    <xf numFmtId="177" fontId="21" fillId="0" borderId="0" xfId="0" applyNumberFormat="1" applyFont="1" applyFill="1" applyAlignment="1">
      <alignment horizontal="right" vertical="center"/>
    </xf>
    <xf numFmtId="177" fontId="25" fillId="0" borderId="8" xfId="43"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177" fontId="20" fillId="0" borderId="1" xfId="0" applyNumberFormat="1" applyFont="1" applyFill="1" applyBorder="1" applyAlignment="1">
      <alignment horizontal="center" vertical="center"/>
    </xf>
    <xf numFmtId="183" fontId="19" fillId="0" borderId="1" xfId="8" applyNumberFormat="1" applyFont="1" applyFill="1" applyBorder="1" applyAlignment="1">
      <alignment vertical="center" wrapText="1"/>
    </xf>
    <xf numFmtId="182" fontId="19" fillId="0" borderId="1" xfId="43" applyNumberFormat="1" applyFont="1" applyFill="1" applyBorder="1" applyAlignment="1">
      <alignment horizontal="center" vertical="center" wrapText="1"/>
    </xf>
    <xf numFmtId="177" fontId="21" fillId="0" borderId="1" xfId="0" applyNumberFormat="1" applyFont="1" applyFill="1" applyBorder="1" applyAlignment="1">
      <alignment horizontal="center" vertical="center" wrapText="1"/>
    </xf>
    <xf numFmtId="177" fontId="27" fillId="0" borderId="1" xfId="0" applyNumberFormat="1" applyFont="1" applyFill="1" applyBorder="1" applyAlignment="1">
      <alignment horizontal="center" vertical="center"/>
    </xf>
    <xf numFmtId="0" fontId="29" fillId="0" borderId="1" xfId="43" applyNumberFormat="1" applyFont="1" applyFill="1" applyBorder="1" applyAlignment="1">
      <alignment vertical="center" wrapText="1"/>
    </xf>
    <xf numFmtId="177" fontId="29" fillId="0" borderId="1" xfId="0" applyNumberFormat="1" applyFont="1" applyFill="1" applyBorder="1" applyAlignment="1">
      <alignment horizontal="center" vertical="center"/>
    </xf>
    <xf numFmtId="0" fontId="30" fillId="0" borderId="1" xfId="43" applyNumberFormat="1" applyFont="1" applyFill="1" applyBorder="1" applyAlignment="1">
      <alignment vertical="center"/>
    </xf>
    <xf numFmtId="0" fontId="29" fillId="0" borderId="1" xfId="43" applyNumberFormat="1" applyFont="1" applyFill="1" applyBorder="1" applyAlignment="1">
      <alignment vertical="center"/>
    </xf>
    <xf numFmtId="177" fontId="29" fillId="0" borderId="6" xfId="8" applyNumberFormat="1" applyFont="1" applyFill="1" applyBorder="1" applyAlignment="1">
      <alignment horizontal="center" vertical="center" wrapText="1"/>
    </xf>
    <xf numFmtId="177" fontId="29" fillId="0" borderId="6" xfId="8" applyNumberFormat="1" applyFont="1" applyFill="1" applyBorder="1" applyAlignment="1">
      <alignment horizontal="center" vertical="center"/>
    </xf>
    <xf numFmtId="0" fontId="29" fillId="0" borderId="0" xfId="0" applyFont="1" applyFill="1">
      <alignment vertical="center"/>
    </xf>
    <xf numFmtId="0" fontId="29" fillId="0" borderId="1" xfId="43" applyNumberFormat="1" applyFont="1" applyFill="1" applyBorder="1" applyAlignment="1"/>
    <xf numFmtId="0" fontId="34" fillId="0" borderId="0" xfId="0" applyFont="1" applyFill="1">
      <alignment vertical="center"/>
    </xf>
    <xf numFmtId="188" fontId="35" fillId="0" borderId="0" xfId="0" applyNumberFormat="1" applyFont="1" applyFill="1" applyBorder="1" applyAlignment="1">
      <alignment horizontal="center" vertical="center"/>
    </xf>
    <xf numFmtId="0" fontId="36" fillId="0" borderId="0" xfId="0" applyFont="1" applyFill="1" applyAlignment="1">
      <alignment horizontal="center" vertical="center"/>
    </xf>
    <xf numFmtId="177" fontId="36" fillId="0" borderId="0" xfId="0" applyNumberFormat="1" applyFont="1" applyFill="1" applyAlignment="1">
      <alignment horizontal="center" vertical="center"/>
    </xf>
    <xf numFmtId="0" fontId="36" fillId="0" borderId="0" xfId="0" applyFont="1" applyFill="1">
      <alignment vertical="center"/>
    </xf>
    <xf numFmtId="0" fontId="37" fillId="0" borderId="0" xfId="0" applyFont="1" applyFill="1" applyAlignment="1">
      <alignment horizontal="left" vertical="center"/>
    </xf>
    <xf numFmtId="0" fontId="38" fillId="0" borderId="0" xfId="0" applyFont="1" applyFill="1" applyAlignment="1">
      <alignment horizontal="center" vertical="center"/>
    </xf>
    <xf numFmtId="0" fontId="39" fillId="0" borderId="0" xfId="0" applyFont="1" applyFill="1" applyAlignment="1">
      <alignment horizontal="center" vertical="center"/>
    </xf>
    <xf numFmtId="177" fontId="18" fillId="0" borderId="0" xfId="0" applyNumberFormat="1" applyFont="1" applyFill="1" applyAlignment="1">
      <alignment horizontal="center" vertical="center"/>
    </xf>
    <xf numFmtId="0" fontId="5" fillId="0" borderId="1" xfId="0" applyFont="1" applyFill="1" applyBorder="1" applyAlignment="1">
      <alignment horizontal="center" vertical="center" wrapText="1"/>
    </xf>
    <xf numFmtId="177" fontId="5"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xf>
    <xf numFmtId="177" fontId="40" fillId="0" borderId="1" xfId="0" applyNumberFormat="1" applyFont="1" applyFill="1" applyBorder="1" applyAlignment="1">
      <alignment horizontal="center" vertical="center"/>
    </xf>
    <xf numFmtId="43" fontId="5" fillId="0" borderId="1" xfId="8" applyFont="1" applyFill="1" applyBorder="1" applyAlignment="1">
      <alignment horizontal="center" vertical="center" wrapText="1"/>
    </xf>
    <xf numFmtId="43" fontId="4" fillId="0" borderId="1" xfId="8" applyFont="1" applyFill="1" applyBorder="1" applyAlignment="1">
      <alignment horizontal="center" vertical="center" wrapText="1"/>
    </xf>
    <xf numFmtId="177" fontId="41" fillId="0" borderId="1" xfId="0" applyNumberFormat="1" applyFont="1" applyFill="1" applyBorder="1" applyAlignment="1">
      <alignment horizontal="center" vertical="center"/>
    </xf>
    <xf numFmtId="177" fontId="41" fillId="0" borderId="1" xfId="8" applyNumberFormat="1" applyFont="1" applyFill="1" applyBorder="1" applyAlignment="1">
      <alignment horizontal="center" vertical="center"/>
    </xf>
    <xf numFmtId="177" fontId="41" fillId="0" borderId="1" xfId="43" applyNumberFormat="1" applyFont="1" applyFill="1" applyBorder="1" applyAlignment="1">
      <alignment horizontal="center" vertical="center"/>
    </xf>
    <xf numFmtId="0" fontId="42" fillId="0" borderId="0" xfId="0" applyFont="1" applyFill="1" applyAlignment="1">
      <alignment horizontal="left" vertical="top" wrapText="1"/>
    </xf>
    <xf numFmtId="0" fontId="43" fillId="0" borderId="0" xfId="0" applyFont="1" applyFill="1" applyAlignment="1">
      <alignment horizontal="left" vertical="top" wrapText="1"/>
    </xf>
    <xf numFmtId="177" fontId="34" fillId="0" borderId="0" xfId="0" applyNumberFormat="1" applyFont="1" applyFill="1" applyAlignment="1">
      <alignment horizontal="right" vertical="center"/>
    </xf>
    <xf numFmtId="177" fontId="41" fillId="0" borderId="1" xfId="8" applyNumberFormat="1" applyFont="1" applyFill="1" applyBorder="1" applyAlignment="1">
      <alignment horizontal="center" vertical="center" wrapText="1"/>
    </xf>
    <xf numFmtId="0" fontId="5" fillId="0" borderId="1" xfId="0" applyFont="1" applyFill="1" applyBorder="1" applyAlignment="1">
      <alignment vertical="center" wrapText="1"/>
    </xf>
    <xf numFmtId="0" fontId="41" fillId="0" borderId="1" xfId="0" applyFont="1" applyFill="1" applyBorder="1">
      <alignment vertical="center"/>
    </xf>
    <xf numFmtId="0" fontId="44" fillId="0" borderId="0" xfId="0" applyFont="1" applyFill="1" applyAlignment="1">
      <alignment vertical="center"/>
    </xf>
    <xf numFmtId="0" fontId="45" fillId="0" borderId="0" xfId="0" applyFont="1" applyFill="1" applyAlignment="1">
      <alignment horizontal="center" vertical="center" wrapText="1"/>
    </xf>
    <xf numFmtId="0" fontId="46" fillId="0" borderId="0" xfId="0" applyFont="1" applyFill="1">
      <alignment vertical="center"/>
    </xf>
    <xf numFmtId="0" fontId="47" fillId="0" borderId="0" xfId="0" applyFont="1" applyFill="1" applyAlignment="1">
      <alignment vertical="center"/>
    </xf>
    <xf numFmtId="0" fontId="48" fillId="0" borderId="0" xfId="0" applyFont="1" applyFill="1" applyAlignment="1">
      <alignment horizontal="center" vertical="center"/>
    </xf>
    <xf numFmtId="0" fontId="49" fillId="0" borderId="0" xfId="0" applyFont="1" applyFill="1" applyAlignment="1">
      <alignment horizontal="center" vertical="center"/>
    </xf>
    <xf numFmtId="0" fontId="50" fillId="0" borderId="0" xfId="0" applyFont="1" applyFill="1" applyAlignment="1">
      <alignment horizontal="right" vertical="center"/>
    </xf>
    <xf numFmtId="0" fontId="45" fillId="0" borderId="1" xfId="0" applyFont="1" applyFill="1" applyBorder="1" applyAlignment="1">
      <alignment horizontal="center" vertical="center" wrapText="1"/>
    </xf>
    <xf numFmtId="0" fontId="51" fillId="0" borderId="1" xfId="0" applyFont="1" applyFill="1" applyBorder="1" applyAlignment="1">
      <alignment horizontal="center" vertical="center"/>
    </xf>
    <xf numFmtId="176" fontId="51" fillId="0" borderId="1" xfId="0" applyNumberFormat="1" applyFont="1" applyFill="1" applyBorder="1" applyAlignment="1">
      <alignment horizontal="center" vertical="center"/>
    </xf>
    <xf numFmtId="43" fontId="52" fillId="0" borderId="1" xfId="8" applyFont="1" applyFill="1" applyBorder="1" applyAlignment="1">
      <alignment horizontal="center" vertical="center" wrapText="1"/>
    </xf>
    <xf numFmtId="43" fontId="36" fillId="0" borderId="1" xfId="8" applyFont="1" applyFill="1" applyBorder="1" applyAlignment="1">
      <alignment horizontal="center" vertical="center" wrapText="1"/>
    </xf>
    <xf numFmtId="176" fontId="44" fillId="0" borderId="1" xfId="0" applyNumberFormat="1" applyFont="1" applyFill="1" applyBorder="1" applyAlignment="1">
      <alignment horizontal="center" vertical="center"/>
    </xf>
    <xf numFmtId="177" fontId="46" fillId="0" borderId="1" xfId="0" applyNumberFormat="1" applyFont="1" applyFill="1" applyBorder="1" applyAlignment="1">
      <alignment horizontal="center" vertical="center"/>
    </xf>
  </cellXfs>
  <cellStyles count="8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常规_基层医疗卫生机构_4" xfId="11"/>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常规 12" xfId="19"/>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常规_基层医疗卫生机构_1" xfId="33"/>
    <cellStyle name="好" xfId="34" builtinId="26"/>
    <cellStyle name="适中" xfId="35" builtinId="28"/>
    <cellStyle name="20% - 强调文字颜色 5" xfId="36" builtinId="46"/>
    <cellStyle name="强调文字颜色 1" xfId="37" builtinId="29"/>
    <cellStyle name="常规_总表" xfId="38"/>
    <cellStyle name="20% - 强调文字颜色 1" xfId="39" builtinId="30"/>
    <cellStyle name="40% - 强调文字颜色 1" xfId="40" builtinId="31"/>
    <cellStyle name="20% - 强调文字颜色 2" xfId="41" builtinId="34"/>
    <cellStyle name="40% - 强调文字颜色 2" xfId="42" builtinId="35"/>
    <cellStyle name="常规_测算表" xfId="43"/>
    <cellStyle name="强调文字颜色 3" xfId="44" builtinId="37"/>
    <cellStyle name="常规_附件2-1-1-9" xfId="45"/>
    <cellStyle name="强调文字颜色 4" xfId="46" builtinId="41"/>
    <cellStyle name="20% - 强调文字颜色 4" xfId="47" builtinId="42"/>
    <cellStyle name="40% - 强调文字颜色 4" xfId="48" builtinId="43"/>
    <cellStyle name="强调文字颜色 5" xfId="49" builtinId="45"/>
    <cellStyle name="40% - 强调文字颜色 5" xfId="50" builtinId="47"/>
    <cellStyle name="60% - 强调文字颜色 5" xfId="51" builtinId="48"/>
    <cellStyle name="强调文字颜色 6" xfId="52" builtinId="49"/>
    <cellStyle name="40% - 强调文字颜色 6" xfId="53" builtinId="51"/>
    <cellStyle name="60% - 强调文字颜色 6" xfId="54" builtinId="52"/>
    <cellStyle name="常规_Sheet1" xfId="55"/>
    <cellStyle name="常规_2016省工作量" xfId="56"/>
    <cellStyle name="常规 3" xfId="57"/>
    <cellStyle name="常规 2" xfId="58"/>
    <cellStyle name="常规_附件2-1-2-3-10" xfId="59"/>
    <cellStyle name="常规_基层医疗卫生机构_3" xfId="60"/>
    <cellStyle name="常规_经费明细表" xfId="61"/>
    <cellStyle name="常规_Sheet1_1" xfId="62"/>
    <cellStyle name="常规_基层医疗卫生机构_5" xfId="63"/>
    <cellStyle name="常规_基层医疗卫生机构_2" xfId="64"/>
    <cellStyle name="常规_基层医疗卫生机构_13" xfId="65"/>
    <cellStyle name="常规_2016中央经费测算表_2" xfId="66"/>
    <cellStyle name="常规 5" xfId="67"/>
    <cellStyle name="常规 38" xfId="68"/>
    <cellStyle name="常规_2018年度省级财政项目资金明细费用表 2" xfId="69"/>
    <cellStyle name="千位分隔 2" xfId="70"/>
    <cellStyle name="常规 2 2" xfId="71"/>
    <cellStyle name="常规 17" xfId="72"/>
    <cellStyle name="常规 18" xfId="73"/>
    <cellStyle name="常规 11 3 2" xfId="74"/>
    <cellStyle name="常规_2016省工作量 2" xfId="75"/>
    <cellStyle name="常规_附件2-1-2-3-5" xfId="76"/>
    <cellStyle name="常规_总表_资金测算总表_1" xfId="77"/>
    <cellStyle name="百分比_附件2-1-2-3-5" xfId="78"/>
    <cellStyle name="常规 4 5 2" xfId="79"/>
    <cellStyle name="常规_Sheet1_附件2-1-2-3-10 2" xfId="80"/>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62"/>
  <sheetViews>
    <sheetView view="pageBreakPreview" zoomScaleNormal="100" zoomScaleSheetLayoutView="100" workbookViewId="0">
      <selection activeCell="A2" sqref="A2:B2"/>
    </sheetView>
  </sheetViews>
  <sheetFormatPr defaultColWidth="9" defaultRowHeight="15" outlineLevelCol="1"/>
  <cols>
    <col min="1" max="1" width="27.775" style="319" customWidth="1"/>
    <col min="2" max="2" width="34.875" style="319" customWidth="1"/>
    <col min="3" max="16370" width="9" style="319"/>
    <col min="16371" max="16384" width="9" style="321"/>
  </cols>
  <sheetData>
    <row r="1" s="319" customFormat="1" ht="20" customHeight="1" spans="1:1">
      <c r="A1" s="322" t="s">
        <v>0</v>
      </c>
    </row>
    <row r="2" s="319" customFormat="1" ht="20.25" spans="1:2">
      <c r="A2" s="323" t="s">
        <v>1</v>
      </c>
      <c r="B2" s="323"/>
    </row>
    <row r="3" s="319" customFormat="1" customHeight="1" spans="1:2">
      <c r="A3" s="324"/>
      <c r="B3" s="325" t="s">
        <v>2</v>
      </c>
    </row>
    <row r="4" s="320" customFormat="1" ht="32" customHeight="1" spans="1:2">
      <c r="A4" s="326" t="s">
        <v>3</v>
      </c>
      <c r="B4" s="326" t="s">
        <v>4</v>
      </c>
    </row>
    <row r="5" s="319" customFormat="1" ht="22" customHeight="1" spans="1:2">
      <c r="A5" s="327" t="s">
        <v>5</v>
      </c>
      <c r="B5" s="328">
        <f>B6+B27</f>
        <v>9272.75</v>
      </c>
    </row>
    <row r="6" s="319" customFormat="1" ht="22" customHeight="1" spans="1:2">
      <c r="A6" s="329" t="s">
        <v>6</v>
      </c>
      <c r="B6" s="328">
        <f>SUM(B7:B26)</f>
        <v>7285.78</v>
      </c>
    </row>
    <row r="7" s="319" customFormat="1" ht="22" customHeight="1" spans="1:2">
      <c r="A7" s="330" t="s">
        <v>7</v>
      </c>
      <c r="B7" s="331">
        <v>626.24</v>
      </c>
    </row>
    <row r="8" s="319" customFormat="1" ht="22" customHeight="1" spans="1:2">
      <c r="A8" s="330" t="s">
        <v>8</v>
      </c>
      <c r="B8" s="331">
        <v>101.95</v>
      </c>
    </row>
    <row r="9" s="319" customFormat="1" ht="22" customHeight="1" spans="1:2">
      <c r="A9" s="330" t="s">
        <v>9</v>
      </c>
      <c r="B9" s="331">
        <v>613.44</v>
      </c>
    </row>
    <row r="10" s="319" customFormat="1" ht="22" customHeight="1" spans="1:2">
      <c r="A10" s="330" t="s">
        <v>10</v>
      </c>
      <c r="B10" s="331">
        <v>237.94</v>
      </c>
    </row>
    <row r="11" s="319" customFormat="1" ht="22" customHeight="1" spans="1:2">
      <c r="A11" s="330" t="s">
        <v>11</v>
      </c>
      <c r="B11" s="331">
        <v>416.44</v>
      </c>
    </row>
    <row r="12" s="319" customFormat="1" ht="22" customHeight="1" spans="1:2">
      <c r="A12" s="330" t="s">
        <v>12</v>
      </c>
      <c r="B12" s="331">
        <v>289.2</v>
      </c>
    </row>
    <row r="13" s="319" customFormat="1" ht="22" customHeight="1" spans="1:2">
      <c r="A13" s="330" t="s">
        <v>13</v>
      </c>
      <c r="B13" s="331">
        <v>460.56</v>
      </c>
    </row>
    <row r="14" s="319" customFormat="1" ht="22" customHeight="1" spans="1:2">
      <c r="A14" s="330" t="s">
        <v>14</v>
      </c>
      <c r="B14" s="331">
        <v>481.93</v>
      </c>
    </row>
    <row r="15" s="319" customFormat="1" ht="22" customHeight="1" spans="1:2">
      <c r="A15" s="330" t="s">
        <v>15</v>
      </c>
      <c r="B15" s="331">
        <v>166.11</v>
      </c>
    </row>
    <row r="16" s="319" customFormat="1" ht="22" customHeight="1" spans="1:2">
      <c r="A16" s="330" t="s">
        <v>16</v>
      </c>
      <c r="B16" s="331">
        <v>229.05</v>
      </c>
    </row>
    <row r="17" s="319" customFormat="1" ht="22" customHeight="1" spans="1:2">
      <c r="A17" s="330" t="s">
        <v>17</v>
      </c>
      <c r="B17" s="331">
        <v>130.51</v>
      </c>
    </row>
    <row r="18" s="319" customFormat="1" ht="22" customHeight="1" spans="1:2">
      <c r="A18" s="330" t="s">
        <v>18</v>
      </c>
      <c r="B18" s="331">
        <v>257.39</v>
      </c>
    </row>
    <row r="19" s="319" customFormat="1" ht="22" customHeight="1" spans="1:2">
      <c r="A19" s="330" t="s">
        <v>19</v>
      </c>
      <c r="B19" s="331">
        <v>526.07</v>
      </c>
    </row>
    <row r="20" s="319" customFormat="1" ht="22" customHeight="1" spans="1:2">
      <c r="A20" s="330" t="s">
        <v>20</v>
      </c>
      <c r="B20" s="331">
        <v>484.57</v>
      </c>
    </row>
    <row r="21" s="319" customFormat="1" ht="22" customHeight="1" spans="1:2">
      <c r="A21" s="330" t="s">
        <v>21</v>
      </c>
      <c r="B21" s="331">
        <v>439.56</v>
      </c>
    </row>
    <row r="22" s="319" customFormat="1" ht="22" customHeight="1" spans="1:2">
      <c r="A22" s="330" t="s">
        <v>22</v>
      </c>
      <c r="B22" s="331">
        <v>453.93</v>
      </c>
    </row>
    <row r="23" s="319" customFormat="1" ht="22" customHeight="1" spans="1:2">
      <c r="A23" s="330" t="s">
        <v>23</v>
      </c>
      <c r="B23" s="331">
        <v>465.07</v>
      </c>
    </row>
    <row r="24" s="319" customFormat="1" ht="22" customHeight="1" spans="1:2">
      <c r="A24" s="330" t="s">
        <v>24</v>
      </c>
      <c r="B24" s="331">
        <v>320.04</v>
      </c>
    </row>
    <row r="25" s="319" customFormat="1" ht="22" customHeight="1" spans="1:2">
      <c r="A25" s="330" t="s">
        <v>25</v>
      </c>
      <c r="B25" s="331">
        <v>244.65</v>
      </c>
    </row>
    <row r="26" s="319" customFormat="1" ht="22" customHeight="1" spans="1:2">
      <c r="A26" s="330" t="s">
        <v>26</v>
      </c>
      <c r="B26" s="331">
        <v>341.13</v>
      </c>
    </row>
    <row r="27" s="319" customFormat="1" ht="22" customHeight="1" spans="1:2">
      <c r="A27" s="329" t="s">
        <v>27</v>
      </c>
      <c r="B27" s="328">
        <f>SUM(B28:B62)</f>
        <v>1986.97</v>
      </c>
    </row>
    <row r="28" s="319" customFormat="1" ht="22" customHeight="1" spans="1:2">
      <c r="A28" s="330" t="s">
        <v>28</v>
      </c>
      <c r="B28" s="332">
        <v>8.78</v>
      </c>
    </row>
    <row r="29" s="319" customFormat="1" ht="22" customHeight="1" spans="1:2">
      <c r="A29" s="330" t="s">
        <v>29</v>
      </c>
      <c r="B29" s="332">
        <v>48.82</v>
      </c>
    </row>
    <row r="30" s="319" customFormat="1" ht="22" customHeight="1" spans="1:2">
      <c r="A30" s="330" t="s">
        <v>30</v>
      </c>
      <c r="B30" s="332">
        <v>36.6</v>
      </c>
    </row>
    <row r="31" s="319" customFormat="1" ht="22" customHeight="1" spans="1:2">
      <c r="A31" s="330" t="s">
        <v>31</v>
      </c>
      <c r="B31" s="332">
        <v>19.21</v>
      </c>
    </row>
    <row r="32" s="319" customFormat="1" ht="22" customHeight="1" spans="1:2">
      <c r="A32" s="330" t="s">
        <v>32</v>
      </c>
      <c r="B32" s="332">
        <v>41.58</v>
      </c>
    </row>
    <row r="33" s="319" customFormat="1" ht="22" customHeight="1" spans="1:2">
      <c r="A33" s="330" t="s">
        <v>33</v>
      </c>
      <c r="B33" s="332">
        <v>40.63</v>
      </c>
    </row>
    <row r="34" s="319" customFormat="1" ht="22" customHeight="1" spans="1:2">
      <c r="A34" s="330" t="s">
        <v>34</v>
      </c>
      <c r="B34" s="332">
        <v>50.21</v>
      </c>
    </row>
    <row r="35" s="319" customFormat="1" ht="22" customHeight="1" spans="1:2">
      <c r="A35" s="330" t="s">
        <v>35</v>
      </c>
      <c r="B35" s="332">
        <v>44.57</v>
      </c>
    </row>
    <row r="36" s="319" customFormat="1" ht="22" customHeight="1" spans="1:2">
      <c r="A36" s="330" t="s">
        <v>36</v>
      </c>
      <c r="B36" s="332">
        <v>53.9</v>
      </c>
    </row>
    <row r="37" s="319" customFormat="1" ht="22" customHeight="1" spans="1:2">
      <c r="A37" s="330" t="s">
        <v>37</v>
      </c>
      <c r="B37" s="332">
        <v>51.9</v>
      </c>
    </row>
    <row r="38" s="319" customFormat="1" ht="22" customHeight="1" spans="1:2">
      <c r="A38" s="330" t="s">
        <v>38</v>
      </c>
      <c r="B38" s="332">
        <v>31.66</v>
      </c>
    </row>
    <row r="39" s="319" customFormat="1" ht="22" customHeight="1" spans="1:2">
      <c r="A39" s="330" t="s">
        <v>39</v>
      </c>
      <c r="B39" s="332">
        <v>28.18</v>
      </c>
    </row>
    <row r="40" s="319" customFormat="1" ht="22" customHeight="1" spans="1:2">
      <c r="A40" s="330" t="s">
        <v>40</v>
      </c>
      <c r="B40" s="332">
        <v>68.43</v>
      </c>
    </row>
    <row r="41" s="319" customFormat="1" ht="22" customHeight="1" spans="1:2">
      <c r="A41" s="330" t="s">
        <v>41</v>
      </c>
      <c r="B41" s="332">
        <v>18.23</v>
      </c>
    </row>
    <row r="42" s="319" customFormat="1" ht="22" customHeight="1" spans="1:2">
      <c r="A42" s="330" t="s">
        <v>42</v>
      </c>
      <c r="B42" s="332">
        <v>78.39</v>
      </c>
    </row>
    <row r="43" s="319" customFormat="1" ht="22" customHeight="1" spans="1:2">
      <c r="A43" s="330" t="s">
        <v>43</v>
      </c>
      <c r="B43" s="332">
        <v>61.57</v>
      </c>
    </row>
    <row r="44" s="319" customFormat="1" ht="22" customHeight="1" spans="1:2">
      <c r="A44" s="330" t="s">
        <v>44</v>
      </c>
      <c r="B44" s="332">
        <v>85.05</v>
      </c>
    </row>
    <row r="45" s="319" customFormat="1" ht="22" customHeight="1" spans="1:2">
      <c r="A45" s="330" t="s">
        <v>45</v>
      </c>
      <c r="B45" s="332">
        <v>52.02</v>
      </c>
    </row>
    <row r="46" s="319" customFormat="1" ht="22" customHeight="1" spans="1:2">
      <c r="A46" s="330" t="s">
        <v>46</v>
      </c>
      <c r="B46" s="332">
        <v>138.75</v>
      </c>
    </row>
    <row r="47" s="319" customFormat="1" ht="22" customHeight="1" spans="1:2">
      <c r="A47" s="330" t="s">
        <v>47</v>
      </c>
      <c r="B47" s="332">
        <v>86.76</v>
      </c>
    </row>
    <row r="48" s="319" customFormat="1" ht="22" customHeight="1" spans="1:2">
      <c r="A48" s="330" t="s">
        <v>48</v>
      </c>
      <c r="B48" s="332">
        <v>86.4</v>
      </c>
    </row>
    <row r="49" s="319" customFormat="1" ht="22" customHeight="1" spans="1:2">
      <c r="A49" s="330" t="s">
        <v>49</v>
      </c>
      <c r="B49" s="332">
        <v>77.76</v>
      </c>
    </row>
    <row r="50" s="319" customFormat="1" ht="22" customHeight="1" spans="1:2">
      <c r="A50" s="330" t="s">
        <v>50</v>
      </c>
      <c r="B50" s="332">
        <v>37.09</v>
      </c>
    </row>
    <row r="51" s="319" customFormat="1" ht="22" customHeight="1" spans="1:2">
      <c r="A51" s="330" t="s">
        <v>51</v>
      </c>
      <c r="B51" s="332">
        <v>47.43</v>
      </c>
    </row>
    <row r="52" s="319" customFormat="1" ht="22" customHeight="1" spans="1:2">
      <c r="A52" s="330" t="s">
        <v>52</v>
      </c>
      <c r="B52" s="332">
        <v>33.22</v>
      </c>
    </row>
    <row r="53" s="319" customFormat="1" ht="22" customHeight="1" spans="1:2">
      <c r="A53" s="330" t="s">
        <v>53</v>
      </c>
      <c r="B53" s="332">
        <v>35.76</v>
      </c>
    </row>
    <row r="54" s="319" customFormat="1" ht="22" customHeight="1" spans="1:2">
      <c r="A54" s="330" t="s">
        <v>54</v>
      </c>
      <c r="B54" s="332">
        <v>152.67</v>
      </c>
    </row>
    <row r="55" s="319" customFormat="1" ht="22" customHeight="1" spans="1:2">
      <c r="A55" s="330" t="s">
        <v>55</v>
      </c>
      <c r="B55" s="332">
        <v>15.41</v>
      </c>
    </row>
    <row r="56" s="319" customFormat="1" ht="22" customHeight="1" spans="1:2">
      <c r="A56" s="330" t="s">
        <v>56</v>
      </c>
      <c r="B56" s="332">
        <v>21.11</v>
      </c>
    </row>
    <row r="57" s="319" customFormat="1" ht="22" customHeight="1" spans="1:2">
      <c r="A57" s="330" t="s">
        <v>57</v>
      </c>
      <c r="B57" s="332">
        <v>45.07</v>
      </c>
    </row>
    <row r="58" s="319" customFormat="1" ht="22" customHeight="1" spans="1:2">
      <c r="A58" s="330" t="s">
        <v>58</v>
      </c>
      <c r="B58" s="332">
        <v>124.18</v>
      </c>
    </row>
    <row r="59" s="319" customFormat="1" ht="22" customHeight="1" spans="1:2">
      <c r="A59" s="330" t="s">
        <v>59</v>
      </c>
      <c r="B59" s="332">
        <v>57.81</v>
      </c>
    </row>
    <row r="60" s="319" customFormat="1" ht="22" customHeight="1" spans="1:2">
      <c r="A60" s="330" t="s">
        <v>60</v>
      </c>
      <c r="B60" s="332">
        <v>59.2</v>
      </c>
    </row>
    <row r="61" s="319" customFormat="1" ht="22" customHeight="1" spans="1:2">
      <c r="A61" s="330" t="s">
        <v>61</v>
      </c>
      <c r="B61" s="332">
        <v>112.95</v>
      </c>
    </row>
    <row r="62" s="319" customFormat="1" ht="22" customHeight="1" spans="1:2">
      <c r="A62" s="330" t="s">
        <v>62</v>
      </c>
      <c r="B62" s="331">
        <v>35.67</v>
      </c>
    </row>
  </sheetData>
  <mergeCells count="1">
    <mergeCell ref="A2:B2"/>
  </mergeCells>
  <printOptions horizontalCentered="1"/>
  <pageMargins left="0.472222222222222" right="0.472222222222222" top="0.590277777777778" bottom="0.786805555555556" header="0.298611111111111" footer="0.495833333333333"/>
  <pageSetup paperSize="9" fitToHeight="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63"/>
  <sheetViews>
    <sheetView view="pageBreakPreview" zoomScaleNormal="100" zoomScaleSheetLayoutView="100" workbookViewId="0">
      <selection activeCell="A2" sqref="A2:Q2"/>
    </sheetView>
  </sheetViews>
  <sheetFormatPr defaultColWidth="9" defaultRowHeight="15"/>
  <cols>
    <col min="1" max="1" width="25.45" style="297" customWidth="1"/>
    <col min="2" max="2" width="11.95" style="298" customWidth="1"/>
    <col min="3" max="3" width="9.30833333333333" style="298" customWidth="1"/>
    <col min="4" max="4" width="10.925" style="298" customWidth="1"/>
    <col min="5" max="5" width="9.91666666666667" style="298" customWidth="1"/>
    <col min="6" max="6" width="12.5833333333333" style="298" customWidth="1"/>
    <col min="7" max="7" width="10.1833333333333" style="298" customWidth="1"/>
    <col min="8" max="8" width="8.96666666666667" style="298" customWidth="1"/>
    <col min="9" max="9" width="11.2416666666667" style="298" customWidth="1"/>
    <col min="10" max="10" width="10.05" style="298" customWidth="1"/>
    <col min="11" max="11" width="10.4666666666667" style="298" customWidth="1"/>
    <col min="12" max="12" width="11.25" style="298" customWidth="1"/>
    <col min="13" max="13" width="11.0833333333333" style="298" customWidth="1"/>
    <col min="14" max="14" width="13.3416666666667" style="298" customWidth="1"/>
    <col min="15" max="16" width="9" style="298"/>
    <col min="17" max="17" width="11.0166666666667" style="299" customWidth="1"/>
    <col min="18" max="16384" width="9" style="299"/>
  </cols>
  <sheetData>
    <row r="1" ht="14.25" spans="1:1">
      <c r="A1" s="300" t="s">
        <v>63</v>
      </c>
    </row>
    <row r="2" ht="30" customHeight="1" spans="1:17">
      <c r="A2" s="301" t="s">
        <v>64</v>
      </c>
      <c r="B2" s="301"/>
      <c r="C2" s="301"/>
      <c r="D2" s="301"/>
      <c r="E2" s="301"/>
      <c r="F2" s="301"/>
      <c r="G2" s="301"/>
      <c r="H2" s="301"/>
      <c r="I2" s="301"/>
      <c r="J2" s="301"/>
      <c r="K2" s="301"/>
      <c r="L2" s="301"/>
      <c r="M2" s="301"/>
      <c r="N2" s="301"/>
      <c r="O2" s="301"/>
      <c r="P2" s="301"/>
      <c r="Q2" s="301"/>
    </row>
    <row r="3" ht="18.75" spans="1:17">
      <c r="A3" s="302"/>
      <c r="B3" s="303"/>
      <c r="P3" s="315" t="s">
        <v>2</v>
      </c>
      <c r="Q3" s="315"/>
    </row>
    <row r="4" ht="55" customHeight="1" spans="1:17">
      <c r="A4" s="304" t="s">
        <v>65</v>
      </c>
      <c r="B4" s="281" t="s">
        <v>66</v>
      </c>
      <c r="C4" s="281" t="s">
        <v>67</v>
      </c>
      <c r="D4" s="281" t="s">
        <v>68</v>
      </c>
      <c r="E4" s="281" t="s">
        <v>69</v>
      </c>
      <c r="F4" s="305" t="s">
        <v>70</v>
      </c>
      <c r="G4" s="281" t="s">
        <v>71</v>
      </c>
      <c r="H4" s="281" t="s">
        <v>72</v>
      </c>
      <c r="I4" s="281" t="s">
        <v>73</v>
      </c>
      <c r="J4" s="281" t="s">
        <v>74</v>
      </c>
      <c r="K4" s="305" t="s">
        <v>75</v>
      </c>
      <c r="L4" s="281" t="s">
        <v>76</v>
      </c>
      <c r="M4" s="281" t="s">
        <v>77</v>
      </c>
      <c r="N4" s="281" t="s">
        <v>78</v>
      </c>
      <c r="O4" s="145" t="s">
        <v>79</v>
      </c>
      <c r="P4" s="149" t="s">
        <v>80</v>
      </c>
      <c r="Q4" s="317" t="s">
        <v>81</v>
      </c>
    </row>
    <row r="5" ht="22" customHeight="1" spans="1:17">
      <c r="A5" s="306" t="s">
        <v>82</v>
      </c>
      <c r="B5" s="307">
        <f>B6+B27</f>
        <v>9272.75</v>
      </c>
      <c r="C5" s="307">
        <f t="shared" ref="C5:Q5" si="0">C6+C27</f>
        <v>204.97</v>
      </c>
      <c r="D5" s="307">
        <f t="shared" si="0"/>
        <v>2738.86</v>
      </c>
      <c r="E5" s="307">
        <f t="shared" si="0"/>
        <v>1201.4</v>
      </c>
      <c r="F5" s="307">
        <f t="shared" si="0"/>
        <v>1329.42</v>
      </c>
      <c r="G5" s="307">
        <f t="shared" si="0"/>
        <v>299.2</v>
      </c>
      <c r="H5" s="307">
        <f t="shared" si="0"/>
        <v>188.45</v>
      </c>
      <c r="I5" s="307">
        <f t="shared" si="0"/>
        <v>193.8</v>
      </c>
      <c r="J5" s="307">
        <f t="shared" si="0"/>
        <v>1349.5</v>
      </c>
      <c r="K5" s="307">
        <f t="shared" si="0"/>
        <v>820</v>
      </c>
      <c r="L5" s="307">
        <f t="shared" si="0"/>
        <v>759.15</v>
      </c>
      <c r="M5" s="307">
        <f t="shared" si="0"/>
        <v>18</v>
      </c>
      <c r="N5" s="307">
        <f t="shared" si="0"/>
        <v>0</v>
      </c>
      <c r="O5" s="307">
        <f t="shared" si="0"/>
        <v>120</v>
      </c>
      <c r="P5" s="307">
        <f t="shared" si="0"/>
        <v>50</v>
      </c>
      <c r="Q5" s="307">
        <f t="shared" si="0"/>
        <v>0</v>
      </c>
    </row>
    <row r="6" ht="22" customHeight="1" spans="1:17">
      <c r="A6" s="308" t="s">
        <v>6</v>
      </c>
      <c r="B6" s="307">
        <f>SUM(B7:B26)</f>
        <v>7285.78</v>
      </c>
      <c r="C6" s="307">
        <f t="shared" ref="C6:Q6" si="1">SUM(C7:C26)</f>
        <v>139.08</v>
      </c>
      <c r="D6" s="307">
        <f t="shared" si="1"/>
        <v>1928.94</v>
      </c>
      <c r="E6" s="307">
        <f t="shared" si="1"/>
        <v>1129.61</v>
      </c>
      <c r="F6" s="307">
        <f t="shared" si="1"/>
        <v>1315.56</v>
      </c>
      <c r="G6" s="307">
        <f t="shared" si="1"/>
        <v>225.78</v>
      </c>
      <c r="H6" s="307">
        <f t="shared" si="1"/>
        <v>133.04</v>
      </c>
      <c r="I6" s="307">
        <f t="shared" si="1"/>
        <v>95.3</v>
      </c>
      <c r="J6" s="307">
        <f t="shared" si="1"/>
        <v>1060.36</v>
      </c>
      <c r="K6" s="307">
        <f t="shared" si="1"/>
        <v>656.59</v>
      </c>
      <c r="L6" s="307">
        <f t="shared" si="1"/>
        <v>435.52</v>
      </c>
      <c r="M6" s="307">
        <f t="shared" si="1"/>
        <v>18</v>
      </c>
      <c r="N6" s="307">
        <f t="shared" si="1"/>
        <v>0</v>
      </c>
      <c r="O6" s="307">
        <f t="shared" si="1"/>
        <v>120</v>
      </c>
      <c r="P6" s="307">
        <f t="shared" si="1"/>
        <v>28</v>
      </c>
      <c r="Q6" s="307">
        <f t="shared" si="1"/>
        <v>0</v>
      </c>
    </row>
    <row r="7" ht="22" customHeight="1" spans="1:17">
      <c r="A7" s="309" t="s">
        <v>83</v>
      </c>
      <c r="B7" s="310">
        <f>SUM(C7:Q7)</f>
        <v>626.24</v>
      </c>
      <c r="C7" s="310">
        <v>18.65</v>
      </c>
      <c r="D7" s="310">
        <v>335.46</v>
      </c>
      <c r="E7" s="310">
        <v>0</v>
      </c>
      <c r="F7" s="311">
        <v>85.06</v>
      </c>
      <c r="G7" s="312">
        <v>17.27</v>
      </c>
      <c r="H7" s="310">
        <v>1.02</v>
      </c>
      <c r="I7" s="310">
        <v>2.55</v>
      </c>
      <c r="J7" s="310">
        <v>40</v>
      </c>
      <c r="K7" s="310">
        <v>100</v>
      </c>
      <c r="L7" s="316">
        <v>23.23</v>
      </c>
      <c r="M7" s="310">
        <v>3</v>
      </c>
      <c r="N7" s="310"/>
      <c r="O7" s="310"/>
      <c r="P7" s="310"/>
      <c r="Q7" s="318"/>
    </row>
    <row r="8" ht="22" customHeight="1" spans="1:17">
      <c r="A8" s="309" t="s">
        <v>84</v>
      </c>
      <c r="B8" s="310">
        <f t="shared" ref="B8:B26" si="2">SUM(C8:Q8)</f>
        <v>101.95</v>
      </c>
      <c r="C8" s="310">
        <v>2.56</v>
      </c>
      <c r="D8" s="310">
        <v>35.33</v>
      </c>
      <c r="E8" s="310">
        <v>0</v>
      </c>
      <c r="F8" s="311">
        <v>42.41</v>
      </c>
      <c r="G8" s="312">
        <v>4.77</v>
      </c>
      <c r="H8" s="310">
        <v>1.51</v>
      </c>
      <c r="I8" s="310">
        <v>0.31</v>
      </c>
      <c r="J8" s="310">
        <v>0</v>
      </c>
      <c r="K8" s="310">
        <v>5</v>
      </c>
      <c r="L8" s="316">
        <v>7.06</v>
      </c>
      <c r="M8" s="310">
        <v>3</v>
      </c>
      <c r="N8" s="310"/>
      <c r="O8" s="310"/>
      <c r="P8" s="310"/>
      <c r="Q8" s="318"/>
    </row>
    <row r="9" ht="22" customHeight="1" spans="1:17">
      <c r="A9" s="309" t="s">
        <v>85</v>
      </c>
      <c r="B9" s="310">
        <f t="shared" si="2"/>
        <v>613.44</v>
      </c>
      <c r="C9" s="310">
        <v>14.07</v>
      </c>
      <c r="D9" s="310">
        <v>138.31</v>
      </c>
      <c r="E9" s="310">
        <v>237.38</v>
      </c>
      <c r="F9" s="311">
        <v>68.86</v>
      </c>
      <c r="G9" s="312">
        <v>4.58</v>
      </c>
      <c r="H9" s="310">
        <v>8.61</v>
      </c>
      <c r="I9" s="310">
        <v>4.64</v>
      </c>
      <c r="J9" s="310">
        <v>77</v>
      </c>
      <c r="K9" s="310">
        <v>33.57</v>
      </c>
      <c r="L9" s="316">
        <v>26.42</v>
      </c>
      <c r="M9" s="310"/>
      <c r="N9" s="310"/>
      <c r="O9" s="310"/>
      <c r="P9" s="310"/>
      <c r="Q9" s="318"/>
    </row>
    <row r="10" ht="22" customHeight="1" spans="1:17">
      <c r="A10" s="309" t="s">
        <v>86</v>
      </c>
      <c r="B10" s="310">
        <f t="shared" si="2"/>
        <v>237.94</v>
      </c>
      <c r="C10" s="310">
        <v>10.2</v>
      </c>
      <c r="D10" s="310">
        <v>134.75</v>
      </c>
      <c r="E10" s="310">
        <v>0</v>
      </c>
      <c r="F10" s="311">
        <v>59.56</v>
      </c>
      <c r="G10" s="312">
        <v>12.1</v>
      </c>
      <c r="H10" s="310">
        <v>0.32</v>
      </c>
      <c r="I10" s="310">
        <v>1.35</v>
      </c>
      <c r="J10" s="310">
        <v>0</v>
      </c>
      <c r="K10" s="310">
        <v>0</v>
      </c>
      <c r="L10" s="316">
        <v>13.66</v>
      </c>
      <c r="M10" s="310">
        <v>3</v>
      </c>
      <c r="N10" s="310"/>
      <c r="O10" s="310"/>
      <c r="P10" s="310">
        <v>3</v>
      </c>
      <c r="Q10" s="318"/>
    </row>
    <row r="11" ht="22" customHeight="1" spans="1:17">
      <c r="A11" s="309" t="s">
        <v>87</v>
      </c>
      <c r="B11" s="310">
        <f t="shared" si="2"/>
        <v>416.44</v>
      </c>
      <c r="C11" s="310">
        <v>3.95</v>
      </c>
      <c r="D11" s="310">
        <v>71.76</v>
      </c>
      <c r="E11" s="310">
        <v>28.98</v>
      </c>
      <c r="F11" s="311">
        <v>72.59</v>
      </c>
      <c r="G11" s="312">
        <v>52.68</v>
      </c>
      <c r="H11" s="310">
        <v>10.99</v>
      </c>
      <c r="I11" s="310">
        <v>3.16</v>
      </c>
      <c r="J11" s="310">
        <v>65.08</v>
      </c>
      <c r="K11" s="310">
        <v>69.9</v>
      </c>
      <c r="L11" s="316">
        <v>37.35</v>
      </c>
      <c r="M11" s="310"/>
      <c r="N11" s="310"/>
      <c r="O11" s="310"/>
      <c r="P11" s="310"/>
      <c r="Q11" s="318"/>
    </row>
    <row r="12" ht="22" customHeight="1" spans="1:17">
      <c r="A12" s="309" t="s">
        <v>88</v>
      </c>
      <c r="B12" s="310">
        <f t="shared" si="2"/>
        <v>289.2</v>
      </c>
      <c r="C12" s="310">
        <v>3.75</v>
      </c>
      <c r="D12" s="310">
        <v>49.03</v>
      </c>
      <c r="E12" s="310">
        <v>18.85</v>
      </c>
      <c r="F12" s="311">
        <v>95.72</v>
      </c>
      <c r="G12" s="312">
        <v>7.5</v>
      </c>
      <c r="H12" s="310">
        <v>6.29</v>
      </c>
      <c r="I12" s="310">
        <v>0.66</v>
      </c>
      <c r="J12" s="310">
        <v>48.98</v>
      </c>
      <c r="K12" s="310">
        <v>18.29</v>
      </c>
      <c r="L12" s="316">
        <v>25.13</v>
      </c>
      <c r="M12" s="310"/>
      <c r="N12" s="310"/>
      <c r="O12" s="310">
        <v>15</v>
      </c>
      <c r="P12" s="310"/>
      <c r="Q12" s="318"/>
    </row>
    <row r="13" ht="22" customHeight="1" spans="1:17">
      <c r="A13" s="309" t="s">
        <v>89</v>
      </c>
      <c r="B13" s="310">
        <f t="shared" si="2"/>
        <v>460.56</v>
      </c>
      <c r="C13" s="310">
        <v>2.98</v>
      </c>
      <c r="D13" s="310">
        <v>36.7</v>
      </c>
      <c r="E13" s="310">
        <v>180.38</v>
      </c>
      <c r="F13" s="311">
        <v>59.43</v>
      </c>
      <c r="G13" s="312">
        <v>10.77</v>
      </c>
      <c r="H13" s="310">
        <v>11.93</v>
      </c>
      <c r="I13" s="310">
        <v>2.81</v>
      </c>
      <c r="J13" s="310">
        <v>79.22</v>
      </c>
      <c r="K13" s="310">
        <v>48.63</v>
      </c>
      <c r="L13" s="316">
        <v>27.71</v>
      </c>
      <c r="M13" s="310"/>
      <c r="N13" s="310"/>
      <c r="O13" s="310"/>
      <c r="P13" s="310"/>
      <c r="Q13" s="318"/>
    </row>
    <row r="14" ht="22" customHeight="1" spans="1:17">
      <c r="A14" s="309" t="s">
        <v>90</v>
      </c>
      <c r="B14" s="310">
        <f t="shared" si="2"/>
        <v>481.93</v>
      </c>
      <c r="C14" s="310">
        <v>12.43</v>
      </c>
      <c r="D14" s="310">
        <v>103.26</v>
      </c>
      <c r="E14" s="310">
        <v>48.57</v>
      </c>
      <c r="F14" s="311">
        <v>72.05</v>
      </c>
      <c r="G14" s="312">
        <v>9.52</v>
      </c>
      <c r="H14" s="310">
        <v>2</v>
      </c>
      <c r="I14" s="310">
        <v>6.88</v>
      </c>
      <c r="J14" s="310">
        <v>155.04</v>
      </c>
      <c r="K14" s="310">
        <v>42.95</v>
      </c>
      <c r="L14" s="316">
        <v>29.23</v>
      </c>
      <c r="M14" s="310"/>
      <c r="N14" s="310"/>
      <c r="O14" s="310"/>
      <c r="P14" s="310"/>
      <c r="Q14" s="318"/>
    </row>
    <row r="15" ht="22" customHeight="1" spans="1:17">
      <c r="A15" s="309" t="s">
        <v>91</v>
      </c>
      <c r="B15" s="310">
        <f t="shared" si="2"/>
        <v>166.11</v>
      </c>
      <c r="C15" s="310">
        <v>1.13</v>
      </c>
      <c r="D15" s="310">
        <v>15.89</v>
      </c>
      <c r="E15" s="310">
        <v>3.8</v>
      </c>
      <c r="F15" s="311">
        <v>71.66</v>
      </c>
      <c r="G15" s="312">
        <v>7.34</v>
      </c>
      <c r="H15" s="310">
        <v>2.11</v>
      </c>
      <c r="I15" s="310">
        <v>0.18</v>
      </c>
      <c r="J15" s="310">
        <v>36.14</v>
      </c>
      <c r="K15" s="310">
        <v>22.77</v>
      </c>
      <c r="L15" s="316">
        <v>5.09</v>
      </c>
      <c r="M15" s="310"/>
      <c r="N15" s="310"/>
      <c r="O15" s="310"/>
      <c r="P15" s="310"/>
      <c r="Q15" s="318"/>
    </row>
    <row r="16" ht="22" customHeight="1" spans="1:17">
      <c r="A16" s="309" t="s">
        <v>92</v>
      </c>
      <c r="B16" s="310">
        <f t="shared" si="2"/>
        <v>229.05</v>
      </c>
      <c r="C16" s="310">
        <v>10.12</v>
      </c>
      <c r="D16" s="310">
        <v>144.34</v>
      </c>
      <c r="E16" s="310">
        <v>0</v>
      </c>
      <c r="F16" s="311">
        <v>38.29</v>
      </c>
      <c r="G16" s="312">
        <v>4.95</v>
      </c>
      <c r="H16" s="310">
        <v>3.22</v>
      </c>
      <c r="I16" s="310">
        <v>1.47</v>
      </c>
      <c r="J16" s="310">
        <v>0</v>
      </c>
      <c r="K16" s="310">
        <v>10</v>
      </c>
      <c r="L16" s="316">
        <v>13.66</v>
      </c>
      <c r="M16" s="310">
        <v>3</v>
      </c>
      <c r="N16" s="310"/>
      <c r="O16" s="310"/>
      <c r="P16" s="310"/>
      <c r="Q16" s="318"/>
    </row>
    <row r="17" ht="22" customHeight="1" spans="1:17">
      <c r="A17" s="309" t="s">
        <v>93</v>
      </c>
      <c r="B17" s="310">
        <f t="shared" si="2"/>
        <v>130.51</v>
      </c>
      <c r="C17" s="310">
        <v>5.5</v>
      </c>
      <c r="D17" s="310">
        <v>69.29</v>
      </c>
      <c r="E17" s="310">
        <v>0</v>
      </c>
      <c r="F17" s="311">
        <v>36.29</v>
      </c>
      <c r="G17" s="312">
        <v>6.68</v>
      </c>
      <c r="H17" s="310">
        <v>2.53</v>
      </c>
      <c r="I17" s="310">
        <v>0.57</v>
      </c>
      <c r="J17" s="310">
        <v>0</v>
      </c>
      <c r="K17" s="310">
        <v>0.77</v>
      </c>
      <c r="L17" s="316">
        <v>8.88</v>
      </c>
      <c r="M17" s="310"/>
      <c r="N17" s="310"/>
      <c r="O17" s="310"/>
      <c r="P17" s="310"/>
      <c r="Q17" s="318"/>
    </row>
    <row r="18" ht="22" customHeight="1" spans="1:17">
      <c r="A18" s="309" t="s">
        <v>94</v>
      </c>
      <c r="B18" s="310">
        <f t="shared" si="2"/>
        <v>257.39</v>
      </c>
      <c r="C18" s="310">
        <v>4.84</v>
      </c>
      <c r="D18" s="310">
        <v>100.79</v>
      </c>
      <c r="E18" s="310">
        <v>43.66</v>
      </c>
      <c r="F18" s="311">
        <v>38.55</v>
      </c>
      <c r="G18" s="312">
        <v>7.78</v>
      </c>
      <c r="H18" s="310">
        <v>2.51</v>
      </c>
      <c r="I18" s="310">
        <v>0.8</v>
      </c>
      <c r="J18" s="310">
        <v>22.26</v>
      </c>
      <c r="K18" s="310">
        <v>10.77</v>
      </c>
      <c r="L18" s="316">
        <v>25.43</v>
      </c>
      <c r="M18" s="310"/>
      <c r="N18" s="310"/>
      <c r="O18" s="310"/>
      <c r="P18" s="310"/>
      <c r="Q18" s="318"/>
    </row>
    <row r="19" ht="22" customHeight="1" spans="1:17">
      <c r="A19" s="309" t="s">
        <v>95</v>
      </c>
      <c r="B19" s="310">
        <f t="shared" si="2"/>
        <v>526.07</v>
      </c>
      <c r="C19" s="310">
        <v>4.03</v>
      </c>
      <c r="D19" s="310">
        <v>154.75</v>
      </c>
      <c r="E19" s="310">
        <v>119.89</v>
      </c>
      <c r="F19" s="311">
        <v>72.32</v>
      </c>
      <c r="G19" s="312">
        <v>7.2</v>
      </c>
      <c r="H19" s="310">
        <v>4.82</v>
      </c>
      <c r="I19" s="310">
        <v>4.42</v>
      </c>
      <c r="J19" s="310">
        <v>69.53</v>
      </c>
      <c r="K19" s="310">
        <v>49.29</v>
      </c>
      <c r="L19" s="316">
        <v>24.82</v>
      </c>
      <c r="M19" s="310"/>
      <c r="N19" s="310"/>
      <c r="O19" s="310">
        <v>15</v>
      </c>
      <c r="P19" s="310"/>
      <c r="Q19" s="318"/>
    </row>
    <row r="20" ht="22" customHeight="1" spans="1:17">
      <c r="A20" s="309" t="s">
        <v>96</v>
      </c>
      <c r="B20" s="310">
        <f t="shared" si="2"/>
        <v>484.57</v>
      </c>
      <c r="C20" s="310">
        <v>11.66</v>
      </c>
      <c r="D20" s="310">
        <v>108.18</v>
      </c>
      <c r="E20" s="310">
        <v>14.38</v>
      </c>
      <c r="F20" s="311">
        <v>112.6</v>
      </c>
      <c r="G20" s="312">
        <v>7.23</v>
      </c>
      <c r="H20" s="310">
        <v>11.14</v>
      </c>
      <c r="I20" s="310">
        <v>33.72</v>
      </c>
      <c r="J20" s="310">
        <v>72.68</v>
      </c>
      <c r="K20" s="310">
        <v>46.83</v>
      </c>
      <c r="L20" s="316">
        <v>29.15</v>
      </c>
      <c r="M20" s="310"/>
      <c r="N20" s="310"/>
      <c r="O20" s="310">
        <v>15</v>
      </c>
      <c r="P20" s="310">
        <v>22</v>
      </c>
      <c r="Q20" s="318"/>
    </row>
    <row r="21" ht="22" customHeight="1" spans="1:17">
      <c r="A21" s="309" t="s">
        <v>97</v>
      </c>
      <c r="B21" s="310">
        <f t="shared" si="2"/>
        <v>439.56</v>
      </c>
      <c r="C21" s="310">
        <v>9.5</v>
      </c>
      <c r="D21" s="310">
        <v>104.9</v>
      </c>
      <c r="E21" s="310">
        <v>54.09</v>
      </c>
      <c r="F21" s="311">
        <v>63.81</v>
      </c>
      <c r="G21" s="312">
        <v>8.18</v>
      </c>
      <c r="H21" s="310">
        <v>15.11</v>
      </c>
      <c r="I21" s="310">
        <v>17.12</v>
      </c>
      <c r="J21" s="310">
        <v>83.68</v>
      </c>
      <c r="K21" s="310">
        <v>37.96</v>
      </c>
      <c r="L21" s="316">
        <v>30.21</v>
      </c>
      <c r="M21" s="310"/>
      <c r="N21" s="310"/>
      <c r="O21" s="310">
        <v>15</v>
      </c>
      <c r="P21" s="310"/>
      <c r="Q21" s="318"/>
    </row>
    <row r="22" ht="22" customHeight="1" spans="1:17">
      <c r="A22" s="309" t="s">
        <v>98</v>
      </c>
      <c r="B22" s="310">
        <f t="shared" si="2"/>
        <v>453.93</v>
      </c>
      <c r="C22" s="310">
        <v>4.98</v>
      </c>
      <c r="D22" s="310">
        <v>62.72</v>
      </c>
      <c r="E22" s="310">
        <v>116.91</v>
      </c>
      <c r="F22" s="311">
        <v>60.75</v>
      </c>
      <c r="G22" s="312">
        <v>18.33</v>
      </c>
      <c r="H22" s="310">
        <v>5.26</v>
      </c>
      <c r="I22" s="310">
        <v>4.94</v>
      </c>
      <c r="J22" s="310">
        <v>89.18</v>
      </c>
      <c r="K22" s="310">
        <v>42.8</v>
      </c>
      <c r="L22" s="316">
        <v>30.06</v>
      </c>
      <c r="M22" s="310">
        <v>3</v>
      </c>
      <c r="N22" s="310"/>
      <c r="O22" s="310">
        <v>15</v>
      </c>
      <c r="P22" s="310"/>
      <c r="Q22" s="318"/>
    </row>
    <row r="23" ht="22" customHeight="1" spans="1:17">
      <c r="A23" s="309" t="s">
        <v>99</v>
      </c>
      <c r="B23" s="310">
        <f t="shared" si="2"/>
        <v>465.07</v>
      </c>
      <c r="C23" s="310">
        <v>6.73</v>
      </c>
      <c r="D23" s="310">
        <v>113.94</v>
      </c>
      <c r="E23" s="310">
        <v>43.8</v>
      </c>
      <c r="F23" s="311">
        <v>88.27</v>
      </c>
      <c r="G23" s="312">
        <v>19.84</v>
      </c>
      <c r="H23" s="310">
        <v>11.36</v>
      </c>
      <c r="I23" s="310">
        <v>3.62</v>
      </c>
      <c r="J23" s="310">
        <v>97.95</v>
      </c>
      <c r="K23" s="310">
        <v>30.28</v>
      </c>
      <c r="L23" s="316">
        <v>31.28</v>
      </c>
      <c r="M23" s="310">
        <v>3</v>
      </c>
      <c r="N23" s="310"/>
      <c r="O23" s="310">
        <v>15</v>
      </c>
      <c r="P23" s="310"/>
      <c r="Q23" s="318"/>
    </row>
    <row r="24" ht="22" customHeight="1" spans="1:17">
      <c r="A24" s="309" t="s">
        <v>100</v>
      </c>
      <c r="B24" s="310">
        <f t="shared" si="2"/>
        <v>320.04</v>
      </c>
      <c r="C24" s="310">
        <v>4.06</v>
      </c>
      <c r="D24" s="310">
        <v>40.26</v>
      </c>
      <c r="E24" s="310">
        <v>103.72</v>
      </c>
      <c r="F24" s="311">
        <v>56.23</v>
      </c>
      <c r="G24" s="312">
        <v>5.11</v>
      </c>
      <c r="H24" s="310">
        <v>4.77</v>
      </c>
      <c r="I24" s="310">
        <v>1.39</v>
      </c>
      <c r="J24" s="310">
        <v>47.14</v>
      </c>
      <c r="K24" s="310">
        <v>27.4</v>
      </c>
      <c r="L24" s="316">
        <v>14.96</v>
      </c>
      <c r="M24" s="310"/>
      <c r="N24" s="310"/>
      <c r="O24" s="310">
        <v>15</v>
      </c>
      <c r="P24" s="310"/>
      <c r="Q24" s="318"/>
    </row>
    <row r="25" ht="22" customHeight="1" spans="1:17">
      <c r="A25" s="309" t="s">
        <v>101</v>
      </c>
      <c r="B25" s="310">
        <f t="shared" si="2"/>
        <v>244.65</v>
      </c>
      <c r="C25" s="310">
        <v>5.24</v>
      </c>
      <c r="D25" s="310">
        <v>53.13</v>
      </c>
      <c r="E25" s="310">
        <v>7.3</v>
      </c>
      <c r="F25" s="311">
        <v>64.88</v>
      </c>
      <c r="G25" s="312">
        <v>8.14</v>
      </c>
      <c r="H25" s="310">
        <v>9.03</v>
      </c>
      <c r="I25" s="310">
        <v>3.58</v>
      </c>
      <c r="J25" s="310">
        <v>48.98</v>
      </c>
      <c r="K25" s="310">
        <v>28.92</v>
      </c>
      <c r="L25" s="316">
        <v>12.45</v>
      </c>
      <c r="M25" s="310"/>
      <c r="N25" s="310"/>
      <c r="O25" s="310"/>
      <c r="P25" s="310">
        <v>3</v>
      </c>
      <c r="Q25" s="318"/>
    </row>
    <row r="26" ht="22" customHeight="1" spans="1:17">
      <c r="A26" s="309" t="s">
        <v>102</v>
      </c>
      <c r="B26" s="310">
        <f t="shared" si="2"/>
        <v>341.13</v>
      </c>
      <c r="C26" s="310">
        <v>2.7</v>
      </c>
      <c r="D26" s="310">
        <v>56.15</v>
      </c>
      <c r="E26" s="310">
        <v>107.9</v>
      </c>
      <c r="F26" s="311">
        <v>56.23</v>
      </c>
      <c r="G26" s="312">
        <v>5.81</v>
      </c>
      <c r="H26" s="310">
        <v>18.51</v>
      </c>
      <c r="I26" s="310">
        <v>1.13</v>
      </c>
      <c r="J26" s="310">
        <v>27.5</v>
      </c>
      <c r="K26" s="310">
        <v>30.46</v>
      </c>
      <c r="L26" s="316">
        <v>19.74</v>
      </c>
      <c r="M26" s="310"/>
      <c r="N26" s="310"/>
      <c r="O26" s="310">
        <v>15</v>
      </c>
      <c r="P26" s="310"/>
      <c r="Q26" s="318"/>
    </row>
    <row r="27" ht="22" customHeight="1" spans="1:17">
      <c r="A27" s="308" t="s">
        <v>27</v>
      </c>
      <c r="B27" s="307">
        <f>SUM(B28:B62)</f>
        <v>1986.97</v>
      </c>
      <c r="C27" s="307">
        <f>SUM(C28:C62)</f>
        <v>65.89</v>
      </c>
      <c r="D27" s="307">
        <f t="shared" ref="D27:Q27" si="3">SUM(D28:D62)</f>
        <v>809.92</v>
      </c>
      <c r="E27" s="307">
        <f t="shared" si="3"/>
        <v>71.79</v>
      </c>
      <c r="F27" s="307">
        <f t="shared" si="3"/>
        <v>13.86</v>
      </c>
      <c r="G27" s="307">
        <f t="shared" si="3"/>
        <v>73.42</v>
      </c>
      <c r="H27" s="307">
        <f t="shared" si="3"/>
        <v>55.41</v>
      </c>
      <c r="I27" s="307">
        <f t="shared" si="3"/>
        <v>98.5</v>
      </c>
      <c r="J27" s="307">
        <f t="shared" si="3"/>
        <v>289.14</v>
      </c>
      <c r="K27" s="307">
        <f t="shared" si="3"/>
        <v>163.41</v>
      </c>
      <c r="L27" s="307">
        <f t="shared" si="3"/>
        <v>323.63</v>
      </c>
      <c r="M27" s="307">
        <f t="shared" si="3"/>
        <v>0</v>
      </c>
      <c r="N27" s="307">
        <f t="shared" si="3"/>
        <v>0</v>
      </c>
      <c r="O27" s="307">
        <f t="shared" si="3"/>
        <v>0</v>
      </c>
      <c r="P27" s="307">
        <f t="shared" si="3"/>
        <v>22</v>
      </c>
      <c r="Q27" s="307">
        <f t="shared" si="3"/>
        <v>0</v>
      </c>
    </row>
    <row r="28" ht="22" customHeight="1" spans="1:17">
      <c r="A28" s="309" t="s">
        <v>103</v>
      </c>
      <c r="B28" s="310">
        <f>SUM(C28:Q28)</f>
        <v>8.78</v>
      </c>
      <c r="C28" s="312">
        <v>0.15</v>
      </c>
      <c r="D28" s="310">
        <v>1.64</v>
      </c>
      <c r="E28" s="310">
        <v>0</v>
      </c>
      <c r="F28" s="310">
        <v>0.13</v>
      </c>
      <c r="G28" s="312">
        <v>0.12</v>
      </c>
      <c r="H28" s="310">
        <v>1.34</v>
      </c>
      <c r="I28" s="310">
        <v>0.02</v>
      </c>
      <c r="J28" s="312">
        <v>1.05</v>
      </c>
      <c r="K28" s="311">
        <v>0.99</v>
      </c>
      <c r="L28" s="316">
        <v>3.34</v>
      </c>
      <c r="M28" s="310"/>
      <c r="N28" s="310"/>
      <c r="O28" s="310"/>
      <c r="P28" s="310"/>
      <c r="Q28" s="318"/>
    </row>
    <row r="29" ht="22" customHeight="1" spans="1:17">
      <c r="A29" s="309" t="s">
        <v>104</v>
      </c>
      <c r="B29" s="310">
        <f t="shared" ref="B29:B62" si="4">SUM(C29:Q29)</f>
        <v>48.82</v>
      </c>
      <c r="C29" s="312">
        <v>0.74</v>
      </c>
      <c r="D29" s="310">
        <v>10.96</v>
      </c>
      <c r="E29" s="310">
        <v>0.74</v>
      </c>
      <c r="F29" s="310">
        <v>0.13</v>
      </c>
      <c r="G29" s="312">
        <v>0.12</v>
      </c>
      <c r="H29" s="310">
        <v>1.66</v>
      </c>
      <c r="I29" s="310">
        <v>0.12</v>
      </c>
      <c r="J29" s="312">
        <v>5.89</v>
      </c>
      <c r="K29" s="311">
        <v>19.2</v>
      </c>
      <c r="L29" s="316">
        <v>9.26</v>
      </c>
      <c r="M29" s="310"/>
      <c r="N29" s="310"/>
      <c r="O29" s="310"/>
      <c r="P29" s="310"/>
      <c r="Q29" s="318"/>
    </row>
    <row r="30" ht="22" customHeight="1" spans="1:17">
      <c r="A30" s="309" t="s">
        <v>105</v>
      </c>
      <c r="B30" s="310">
        <f t="shared" si="4"/>
        <v>36.6</v>
      </c>
      <c r="C30" s="312">
        <v>0.41</v>
      </c>
      <c r="D30" s="310">
        <v>6.03</v>
      </c>
      <c r="E30" s="310">
        <v>0.3</v>
      </c>
      <c r="F30" s="310">
        <v>0.13</v>
      </c>
      <c r="G30" s="312">
        <v>7.7</v>
      </c>
      <c r="H30" s="310">
        <v>1.34</v>
      </c>
      <c r="I30" s="310">
        <v>0.07</v>
      </c>
      <c r="J30" s="312">
        <v>3.27</v>
      </c>
      <c r="K30" s="311">
        <v>4.06</v>
      </c>
      <c r="L30" s="316">
        <v>13.29</v>
      </c>
      <c r="M30" s="310"/>
      <c r="N30" s="310"/>
      <c r="O30" s="310"/>
      <c r="P30" s="310"/>
      <c r="Q30" s="318"/>
    </row>
    <row r="31" ht="22" customHeight="1" spans="1:17">
      <c r="A31" s="309" t="s">
        <v>106</v>
      </c>
      <c r="B31" s="310">
        <f t="shared" si="4"/>
        <v>19.21</v>
      </c>
      <c r="C31" s="312">
        <v>0.49</v>
      </c>
      <c r="D31" s="310">
        <v>6.3</v>
      </c>
      <c r="E31" s="310">
        <v>0.37</v>
      </c>
      <c r="F31" s="310">
        <v>0.13</v>
      </c>
      <c r="G31" s="312">
        <v>0.12</v>
      </c>
      <c r="H31" s="310">
        <v>1.66</v>
      </c>
      <c r="I31" s="310">
        <v>0.07</v>
      </c>
      <c r="J31" s="312">
        <v>3.01</v>
      </c>
      <c r="K31" s="311">
        <v>0.99</v>
      </c>
      <c r="L31" s="316">
        <v>6.07</v>
      </c>
      <c r="M31" s="310"/>
      <c r="N31" s="310"/>
      <c r="O31" s="310"/>
      <c r="P31" s="310"/>
      <c r="Q31" s="318"/>
    </row>
    <row r="32" ht="22" customHeight="1" spans="1:17">
      <c r="A32" s="309" t="s">
        <v>107</v>
      </c>
      <c r="B32" s="310">
        <f t="shared" si="4"/>
        <v>41.58</v>
      </c>
      <c r="C32" s="312">
        <v>1.03</v>
      </c>
      <c r="D32" s="310">
        <v>9.86</v>
      </c>
      <c r="E32" s="310">
        <v>0.22</v>
      </c>
      <c r="F32" s="310">
        <v>0.13</v>
      </c>
      <c r="G32" s="312">
        <v>2.65</v>
      </c>
      <c r="H32" s="310">
        <v>1.34</v>
      </c>
      <c r="I32" s="310">
        <v>0.12</v>
      </c>
      <c r="J32" s="312">
        <v>4.58</v>
      </c>
      <c r="K32" s="311">
        <v>16.18</v>
      </c>
      <c r="L32" s="316">
        <v>5.47</v>
      </c>
      <c r="M32" s="310"/>
      <c r="N32" s="310"/>
      <c r="O32" s="310"/>
      <c r="P32" s="310"/>
      <c r="Q32" s="318"/>
    </row>
    <row r="33" ht="22" customHeight="1" spans="1:17">
      <c r="A33" s="309" t="s">
        <v>108</v>
      </c>
      <c r="B33" s="310">
        <f t="shared" si="4"/>
        <v>40.63</v>
      </c>
      <c r="C33" s="312">
        <v>1.49</v>
      </c>
      <c r="D33" s="310">
        <v>15.34</v>
      </c>
      <c r="E33" s="310">
        <v>1.12</v>
      </c>
      <c r="F33" s="310">
        <v>0.13</v>
      </c>
      <c r="G33" s="312">
        <v>0.12</v>
      </c>
      <c r="H33" s="310">
        <v>1.34</v>
      </c>
      <c r="I33" s="310">
        <v>0.62</v>
      </c>
      <c r="J33" s="312">
        <v>7.6</v>
      </c>
      <c r="K33" s="311">
        <v>0.99</v>
      </c>
      <c r="L33" s="316">
        <v>8.88</v>
      </c>
      <c r="M33" s="310"/>
      <c r="N33" s="310"/>
      <c r="O33" s="310"/>
      <c r="P33" s="310">
        <v>3</v>
      </c>
      <c r="Q33" s="318"/>
    </row>
    <row r="34" ht="22" customHeight="1" spans="1:17">
      <c r="A34" s="309" t="s">
        <v>109</v>
      </c>
      <c r="B34" s="310">
        <f t="shared" si="4"/>
        <v>50.21</v>
      </c>
      <c r="C34" s="312">
        <v>1.41</v>
      </c>
      <c r="D34" s="310">
        <v>21.09</v>
      </c>
      <c r="E34" s="310">
        <v>1.04</v>
      </c>
      <c r="F34" s="310">
        <v>0.13</v>
      </c>
      <c r="G34" s="312">
        <v>0.12</v>
      </c>
      <c r="H34" s="310">
        <v>1.34</v>
      </c>
      <c r="I34" s="310">
        <v>1.41</v>
      </c>
      <c r="J34" s="312">
        <v>10.61</v>
      </c>
      <c r="K34" s="311">
        <v>0.99</v>
      </c>
      <c r="L34" s="316">
        <v>12.07</v>
      </c>
      <c r="M34" s="310"/>
      <c r="N34" s="310"/>
      <c r="O34" s="310"/>
      <c r="P34" s="310"/>
      <c r="Q34" s="318"/>
    </row>
    <row r="35" ht="22" customHeight="1" spans="1:17">
      <c r="A35" s="309" t="s">
        <v>110</v>
      </c>
      <c r="B35" s="310">
        <f t="shared" si="4"/>
        <v>44.57</v>
      </c>
      <c r="C35" s="312">
        <v>0.69</v>
      </c>
      <c r="D35" s="310">
        <v>9.59</v>
      </c>
      <c r="E35" s="310">
        <v>0.3</v>
      </c>
      <c r="F35" s="310">
        <v>0.13</v>
      </c>
      <c r="G35" s="312">
        <v>0.12</v>
      </c>
      <c r="H35" s="310">
        <v>1.34</v>
      </c>
      <c r="I35" s="310">
        <v>0.12</v>
      </c>
      <c r="J35" s="312">
        <v>5.11</v>
      </c>
      <c r="K35" s="311">
        <v>19.2</v>
      </c>
      <c r="L35" s="316">
        <v>7.97</v>
      </c>
      <c r="M35" s="310"/>
      <c r="N35" s="310"/>
      <c r="O35" s="310"/>
      <c r="P35" s="310"/>
      <c r="Q35" s="318"/>
    </row>
    <row r="36" ht="22" customHeight="1" spans="1:17">
      <c r="A36" s="309" t="s">
        <v>111</v>
      </c>
      <c r="B36" s="310">
        <f t="shared" si="4"/>
        <v>53.9</v>
      </c>
      <c r="C36" s="312">
        <v>1.82</v>
      </c>
      <c r="D36" s="310">
        <v>22.73</v>
      </c>
      <c r="E36" s="310">
        <v>2.01</v>
      </c>
      <c r="F36" s="310">
        <v>0.13</v>
      </c>
      <c r="G36" s="312">
        <v>0.12</v>
      </c>
      <c r="H36" s="310">
        <v>1.66</v>
      </c>
      <c r="I36" s="310">
        <v>1.11</v>
      </c>
      <c r="J36" s="312">
        <v>11</v>
      </c>
      <c r="K36" s="311">
        <v>4.06</v>
      </c>
      <c r="L36" s="316">
        <v>9.26</v>
      </c>
      <c r="M36" s="310"/>
      <c r="N36" s="310"/>
      <c r="O36" s="310"/>
      <c r="P36" s="310"/>
      <c r="Q36" s="318"/>
    </row>
    <row r="37" ht="22" customHeight="1" spans="1:17">
      <c r="A37" s="309" t="s">
        <v>112</v>
      </c>
      <c r="B37" s="310">
        <f t="shared" si="4"/>
        <v>51.9</v>
      </c>
      <c r="C37" s="312">
        <v>2.77</v>
      </c>
      <c r="D37" s="310">
        <v>23.01</v>
      </c>
      <c r="E37" s="310">
        <v>1.86</v>
      </c>
      <c r="F37" s="310">
        <v>0.13</v>
      </c>
      <c r="G37" s="312">
        <v>0.12</v>
      </c>
      <c r="H37" s="310">
        <v>1.34</v>
      </c>
      <c r="I37" s="310">
        <v>1.54</v>
      </c>
      <c r="J37" s="312">
        <v>11.26</v>
      </c>
      <c r="K37" s="311">
        <v>0.99</v>
      </c>
      <c r="L37" s="316">
        <v>8.88</v>
      </c>
      <c r="M37" s="310"/>
      <c r="N37" s="310"/>
      <c r="O37" s="310"/>
      <c r="P37" s="310"/>
      <c r="Q37" s="318"/>
    </row>
    <row r="38" ht="22" customHeight="1" spans="1:17">
      <c r="A38" s="309" t="s">
        <v>113</v>
      </c>
      <c r="B38" s="310">
        <f t="shared" si="4"/>
        <v>31.66</v>
      </c>
      <c r="C38" s="312">
        <v>1.05</v>
      </c>
      <c r="D38" s="310">
        <v>11.5</v>
      </c>
      <c r="E38" s="310">
        <v>0.6</v>
      </c>
      <c r="F38" s="310">
        <v>0.13</v>
      </c>
      <c r="G38" s="312">
        <v>0.12</v>
      </c>
      <c r="H38" s="310">
        <v>1.34</v>
      </c>
      <c r="I38" s="310">
        <v>0.37</v>
      </c>
      <c r="J38" s="312">
        <v>6.68</v>
      </c>
      <c r="K38" s="311">
        <v>0.99</v>
      </c>
      <c r="L38" s="316">
        <v>8.88</v>
      </c>
      <c r="M38" s="310"/>
      <c r="N38" s="310"/>
      <c r="O38" s="310"/>
      <c r="P38" s="310"/>
      <c r="Q38" s="318"/>
    </row>
    <row r="39" ht="22" customHeight="1" spans="1:17">
      <c r="A39" s="309" t="s">
        <v>114</v>
      </c>
      <c r="B39" s="310">
        <f t="shared" si="4"/>
        <v>28.18</v>
      </c>
      <c r="C39" s="312">
        <v>0.69</v>
      </c>
      <c r="D39" s="310">
        <v>9.86</v>
      </c>
      <c r="E39" s="310">
        <v>0.67</v>
      </c>
      <c r="F39" s="310">
        <v>0.13</v>
      </c>
      <c r="G39" s="312">
        <v>0.12</v>
      </c>
      <c r="H39" s="310">
        <v>1.34</v>
      </c>
      <c r="I39" s="310">
        <v>0.52</v>
      </c>
      <c r="J39" s="312">
        <v>5.89</v>
      </c>
      <c r="K39" s="311">
        <v>0.99</v>
      </c>
      <c r="L39" s="316">
        <v>7.97</v>
      </c>
      <c r="M39" s="310"/>
      <c r="N39" s="310"/>
      <c r="O39" s="310"/>
      <c r="P39" s="310"/>
      <c r="Q39" s="318"/>
    </row>
    <row r="40" ht="22" customHeight="1" spans="1:17">
      <c r="A40" s="309" t="s">
        <v>115</v>
      </c>
      <c r="B40" s="310">
        <f t="shared" si="4"/>
        <v>68.43</v>
      </c>
      <c r="C40" s="312">
        <v>2.9</v>
      </c>
      <c r="D40" s="310">
        <v>29.58</v>
      </c>
      <c r="E40" s="310">
        <v>1.19</v>
      </c>
      <c r="F40" s="310">
        <v>0.13</v>
      </c>
      <c r="G40" s="312">
        <v>2.65</v>
      </c>
      <c r="H40" s="310">
        <v>1.34</v>
      </c>
      <c r="I40" s="310">
        <v>4.99</v>
      </c>
      <c r="J40" s="312">
        <v>9.17</v>
      </c>
      <c r="K40" s="311">
        <v>0.99</v>
      </c>
      <c r="L40" s="316">
        <v>15.49</v>
      </c>
      <c r="M40" s="310"/>
      <c r="N40" s="310"/>
      <c r="O40" s="310"/>
      <c r="P40" s="310"/>
      <c r="Q40" s="318"/>
    </row>
    <row r="41" ht="22" customHeight="1" spans="1:17">
      <c r="A41" s="309" t="s">
        <v>116</v>
      </c>
      <c r="B41" s="310">
        <f t="shared" si="4"/>
        <v>18.23</v>
      </c>
      <c r="C41" s="312">
        <v>0.69</v>
      </c>
      <c r="D41" s="310">
        <v>6.03</v>
      </c>
      <c r="E41" s="310">
        <v>0.22</v>
      </c>
      <c r="F41" s="310">
        <v>0.13</v>
      </c>
      <c r="G41" s="312">
        <v>0.12</v>
      </c>
      <c r="H41" s="310">
        <v>1.34</v>
      </c>
      <c r="I41" s="310">
        <v>0.1</v>
      </c>
      <c r="J41" s="312">
        <v>3.14</v>
      </c>
      <c r="K41" s="311">
        <v>0.99</v>
      </c>
      <c r="L41" s="316">
        <v>5.47</v>
      </c>
      <c r="M41" s="310"/>
      <c r="N41" s="310"/>
      <c r="O41" s="310"/>
      <c r="P41" s="310"/>
      <c r="Q41" s="318"/>
    </row>
    <row r="42" ht="22" customHeight="1" spans="1:17">
      <c r="A42" s="309" t="s">
        <v>117</v>
      </c>
      <c r="B42" s="310">
        <f t="shared" si="4"/>
        <v>78.39</v>
      </c>
      <c r="C42" s="312">
        <v>3.44</v>
      </c>
      <c r="D42" s="310">
        <v>36.7</v>
      </c>
      <c r="E42" s="310">
        <v>3.28</v>
      </c>
      <c r="F42" s="310">
        <v>0.13</v>
      </c>
      <c r="G42" s="312">
        <v>0.12</v>
      </c>
      <c r="H42" s="310">
        <v>1.34</v>
      </c>
      <c r="I42" s="310">
        <v>11.43</v>
      </c>
      <c r="J42" s="312">
        <v>10.48</v>
      </c>
      <c r="K42" s="311">
        <v>0.99</v>
      </c>
      <c r="L42" s="316">
        <v>10.48</v>
      </c>
      <c r="M42" s="310"/>
      <c r="N42" s="310"/>
      <c r="O42" s="310"/>
      <c r="P42" s="310"/>
      <c r="Q42" s="318"/>
    </row>
    <row r="43" ht="22" customHeight="1" spans="1:17">
      <c r="A43" s="309" t="s">
        <v>118</v>
      </c>
      <c r="B43" s="310">
        <f t="shared" si="4"/>
        <v>61.57</v>
      </c>
      <c r="C43" s="312">
        <v>1.9</v>
      </c>
      <c r="D43" s="310">
        <v>33.69</v>
      </c>
      <c r="E43" s="310">
        <v>2.16</v>
      </c>
      <c r="F43" s="310">
        <v>0.13</v>
      </c>
      <c r="G43" s="312">
        <v>0.12</v>
      </c>
      <c r="H43" s="310">
        <v>1.66</v>
      </c>
      <c r="I43" s="310">
        <v>3.17</v>
      </c>
      <c r="J43" s="312">
        <v>7.33</v>
      </c>
      <c r="K43" s="311">
        <v>2.53</v>
      </c>
      <c r="L43" s="316">
        <v>8.88</v>
      </c>
      <c r="M43" s="310"/>
      <c r="N43" s="310"/>
      <c r="O43" s="310"/>
      <c r="P43" s="310"/>
      <c r="Q43" s="318"/>
    </row>
    <row r="44" ht="22" customHeight="1" spans="1:17">
      <c r="A44" s="309" t="s">
        <v>119</v>
      </c>
      <c r="B44" s="310">
        <f t="shared" si="4"/>
        <v>85.05</v>
      </c>
      <c r="C44" s="312">
        <v>2.03</v>
      </c>
      <c r="D44" s="310">
        <v>38.07</v>
      </c>
      <c r="E44" s="310">
        <v>1.71</v>
      </c>
      <c r="F44" s="310">
        <v>0.13</v>
      </c>
      <c r="G44" s="312">
        <v>0.12</v>
      </c>
      <c r="H44" s="310">
        <v>1.66</v>
      </c>
      <c r="I44" s="310">
        <v>1.47</v>
      </c>
      <c r="J44" s="312">
        <v>9.3</v>
      </c>
      <c r="K44" s="311">
        <v>21.68</v>
      </c>
      <c r="L44" s="316">
        <v>8.88</v>
      </c>
      <c r="M44" s="310"/>
      <c r="N44" s="310"/>
      <c r="O44" s="310"/>
      <c r="P44" s="310"/>
      <c r="Q44" s="318"/>
    </row>
    <row r="45" ht="22" customHeight="1" spans="1:17">
      <c r="A45" s="309" t="s">
        <v>120</v>
      </c>
      <c r="B45" s="310">
        <f t="shared" si="4"/>
        <v>52.02</v>
      </c>
      <c r="C45" s="312">
        <v>2.21</v>
      </c>
      <c r="D45" s="310">
        <v>20.54</v>
      </c>
      <c r="E45" s="310">
        <v>3.13</v>
      </c>
      <c r="F45" s="310">
        <v>0.13</v>
      </c>
      <c r="G45" s="312">
        <v>0.12</v>
      </c>
      <c r="H45" s="310">
        <v>1.34</v>
      </c>
      <c r="I45" s="310">
        <v>8.13</v>
      </c>
      <c r="J45" s="312">
        <v>6.55</v>
      </c>
      <c r="K45" s="311">
        <v>0.99</v>
      </c>
      <c r="L45" s="316">
        <v>8.88</v>
      </c>
      <c r="M45" s="310"/>
      <c r="N45" s="310"/>
      <c r="O45" s="310"/>
      <c r="P45" s="310"/>
      <c r="Q45" s="318"/>
    </row>
    <row r="46" ht="22" customHeight="1" spans="1:17">
      <c r="A46" s="309" t="s">
        <v>121</v>
      </c>
      <c r="B46" s="310">
        <f t="shared" si="4"/>
        <v>138.75</v>
      </c>
      <c r="C46" s="312">
        <v>4.26</v>
      </c>
      <c r="D46" s="310">
        <v>74.5</v>
      </c>
      <c r="E46" s="310">
        <v>2.46</v>
      </c>
      <c r="F46" s="310">
        <v>0.13</v>
      </c>
      <c r="G46" s="312">
        <v>0.12</v>
      </c>
      <c r="H46" s="310">
        <v>1.34</v>
      </c>
      <c r="I46" s="310">
        <v>21.85</v>
      </c>
      <c r="J46" s="312">
        <v>13.62</v>
      </c>
      <c r="K46" s="311">
        <v>0.99</v>
      </c>
      <c r="L46" s="316">
        <v>10.48</v>
      </c>
      <c r="M46" s="310"/>
      <c r="N46" s="310"/>
      <c r="O46" s="310"/>
      <c r="P46" s="310">
        <v>9</v>
      </c>
      <c r="Q46" s="318"/>
    </row>
    <row r="47" ht="22" customHeight="1" spans="1:17">
      <c r="A47" s="309" t="s">
        <v>122</v>
      </c>
      <c r="B47" s="310">
        <f t="shared" si="4"/>
        <v>86.76</v>
      </c>
      <c r="C47" s="312">
        <v>4.57</v>
      </c>
      <c r="D47" s="310">
        <v>33.69</v>
      </c>
      <c r="E47" s="310">
        <v>2.98</v>
      </c>
      <c r="F47" s="310">
        <v>0.13</v>
      </c>
      <c r="G47" s="312">
        <v>0.12</v>
      </c>
      <c r="H47" s="310">
        <v>1.66</v>
      </c>
      <c r="I47" s="310">
        <v>13.01</v>
      </c>
      <c r="J47" s="312">
        <v>12.44</v>
      </c>
      <c r="K47" s="311">
        <v>0.99</v>
      </c>
      <c r="L47" s="316">
        <v>10.17</v>
      </c>
      <c r="M47" s="310"/>
      <c r="N47" s="310"/>
      <c r="O47" s="310"/>
      <c r="P47" s="310">
        <v>7</v>
      </c>
      <c r="Q47" s="318"/>
    </row>
    <row r="48" ht="22" customHeight="1" spans="1:17">
      <c r="A48" s="309" t="s">
        <v>123</v>
      </c>
      <c r="B48" s="310">
        <f t="shared" si="4"/>
        <v>86.4</v>
      </c>
      <c r="C48" s="312">
        <v>3.39</v>
      </c>
      <c r="D48" s="310">
        <v>42.45</v>
      </c>
      <c r="E48" s="310">
        <v>2.16</v>
      </c>
      <c r="F48" s="310">
        <v>0.13</v>
      </c>
      <c r="G48" s="312">
        <v>0.12</v>
      </c>
      <c r="H48" s="310">
        <v>1.34</v>
      </c>
      <c r="I48" s="310">
        <v>3.79</v>
      </c>
      <c r="J48" s="312">
        <v>13.49</v>
      </c>
      <c r="K48" s="311">
        <v>7.16</v>
      </c>
      <c r="L48" s="316">
        <v>12.37</v>
      </c>
      <c r="M48" s="310"/>
      <c r="N48" s="310"/>
      <c r="O48" s="310"/>
      <c r="P48" s="310"/>
      <c r="Q48" s="318"/>
    </row>
    <row r="49" ht="22" customHeight="1" spans="1:17">
      <c r="A49" s="309" t="s">
        <v>124</v>
      </c>
      <c r="B49" s="310">
        <f t="shared" si="4"/>
        <v>77.76</v>
      </c>
      <c r="C49" s="312">
        <v>3.98</v>
      </c>
      <c r="D49" s="310">
        <v>39.17</v>
      </c>
      <c r="E49" s="310">
        <v>0.97</v>
      </c>
      <c r="F49" s="310">
        <v>0.13</v>
      </c>
      <c r="G49" s="312">
        <v>0.12</v>
      </c>
      <c r="H49" s="310">
        <v>1.34</v>
      </c>
      <c r="I49" s="310">
        <v>10.28</v>
      </c>
      <c r="J49" s="312">
        <v>11.52</v>
      </c>
      <c r="K49" s="311">
        <v>0.99</v>
      </c>
      <c r="L49" s="316">
        <v>9.26</v>
      </c>
      <c r="M49" s="310"/>
      <c r="N49" s="310"/>
      <c r="O49" s="310"/>
      <c r="P49" s="310"/>
      <c r="Q49" s="318"/>
    </row>
    <row r="50" ht="22" customHeight="1" spans="1:17">
      <c r="A50" s="309" t="s">
        <v>125</v>
      </c>
      <c r="B50" s="310">
        <f t="shared" si="4"/>
        <v>37.09</v>
      </c>
      <c r="C50" s="312">
        <v>0.8</v>
      </c>
      <c r="D50" s="310">
        <v>16.71</v>
      </c>
      <c r="E50" s="310">
        <v>0.89</v>
      </c>
      <c r="F50" s="310">
        <v>1.46</v>
      </c>
      <c r="G50" s="312">
        <v>0.12</v>
      </c>
      <c r="H50" s="310">
        <v>1.34</v>
      </c>
      <c r="I50" s="310">
        <v>0.15</v>
      </c>
      <c r="J50" s="312">
        <v>5.37</v>
      </c>
      <c r="K50" s="311">
        <v>0.99</v>
      </c>
      <c r="L50" s="316">
        <v>9.26</v>
      </c>
      <c r="M50" s="310"/>
      <c r="N50" s="310"/>
      <c r="O50" s="310"/>
      <c r="P50" s="310"/>
      <c r="Q50" s="318"/>
    </row>
    <row r="51" ht="22" customHeight="1" spans="1:17">
      <c r="A51" s="309" t="s">
        <v>126</v>
      </c>
      <c r="B51" s="310">
        <f t="shared" si="4"/>
        <v>47.43</v>
      </c>
      <c r="C51" s="312">
        <v>1.98</v>
      </c>
      <c r="D51" s="310">
        <v>19.45</v>
      </c>
      <c r="E51" s="310">
        <v>1.49</v>
      </c>
      <c r="F51" s="310">
        <v>1.46</v>
      </c>
      <c r="G51" s="312">
        <v>0.12</v>
      </c>
      <c r="H51" s="310">
        <v>1.34</v>
      </c>
      <c r="I51" s="310">
        <v>0.3</v>
      </c>
      <c r="J51" s="312">
        <v>9.82</v>
      </c>
      <c r="K51" s="311">
        <v>0.99</v>
      </c>
      <c r="L51" s="316">
        <v>10.48</v>
      </c>
      <c r="M51" s="310"/>
      <c r="N51" s="310"/>
      <c r="O51" s="310"/>
      <c r="P51" s="310"/>
      <c r="Q51" s="318"/>
    </row>
    <row r="52" ht="22" customHeight="1" spans="1:17">
      <c r="A52" s="309" t="s">
        <v>127</v>
      </c>
      <c r="B52" s="310">
        <f t="shared" si="4"/>
        <v>33.22</v>
      </c>
      <c r="C52" s="312">
        <v>0.74</v>
      </c>
      <c r="D52" s="310">
        <v>13.15</v>
      </c>
      <c r="E52" s="310">
        <v>0.6</v>
      </c>
      <c r="F52" s="310">
        <v>0.13</v>
      </c>
      <c r="G52" s="312">
        <v>0.12</v>
      </c>
      <c r="H52" s="310">
        <v>1.34</v>
      </c>
      <c r="I52" s="310">
        <v>0.7</v>
      </c>
      <c r="J52" s="312">
        <v>4.71</v>
      </c>
      <c r="K52" s="311">
        <v>4.06</v>
      </c>
      <c r="L52" s="316">
        <v>7.67</v>
      </c>
      <c r="M52" s="310"/>
      <c r="N52" s="310"/>
      <c r="O52" s="310"/>
      <c r="P52" s="310"/>
      <c r="Q52" s="318"/>
    </row>
    <row r="53" ht="22" customHeight="1" spans="1:17">
      <c r="A53" s="309" t="s">
        <v>128</v>
      </c>
      <c r="B53" s="310">
        <f t="shared" si="4"/>
        <v>35.76</v>
      </c>
      <c r="C53" s="312">
        <v>0.77</v>
      </c>
      <c r="D53" s="310">
        <v>15.34</v>
      </c>
      <c r="E53" s="310">
        <v>1.12</v>
      </c>
      <c r="F53" s="310">
        <v>0.13</v>
      </c>
      <c r="G53" s="312">
        <v>0.12</v>
      </c>
      <c r="H53" s="310">
        <v>1.34</v>
      </c>
      <c r="I53" s="310">
        <v>0.54</v>
      </c>
      <c r="J53" s="312">
        <v>6.15</v>
      </c>
      <c r="K53" s="311">
        <v>0.99</v>
      </c>
      <c r="L53" s="316">
        <v>9.26</v>
      </c>
      <c r="M53" s="310"/>
      <c r="N53" s="310"/>
      <c r="O53" s="310"/>
      <c r="P53" s="310"/>
      <c r="Q53" s="318"/>
    </row>
    <row r="54" ht="22" customHeight="1" spans="1:17">
      <c r="A54" s="309" t="s">
        <v>129</v>
      </c>
      <c r="B54" s="310">
        <f t="shared" si="4"/>
        <v>152.67</v>
      </c>
      <c r="C54" s="312">
        <v>2.49</v>
      </c>
      <c r="D54" s="310">
        <v>44.92</v>
      </c>
      <c r="E54" s="310">
        <v>27.86</v>
      </c>
      <c r="F54" s="310">
        <v>0.13</v>
      </c>
      <c r="G54" s="312">
        <v>50.38</v>
      </c>
      <c r="H54" s="310">
        <v>3</v>
      </c>
      <c r="I54" s="310">
        <v>0.35</v>
      </c>
      <c r="J54" s="312">
        <v>10.48</v>
      </c>
      <c r="K54" s="311">
        <v>0.99</v>
      </c>
      <c r="L54" s="316">
        <v>12.07</v>
      </c>
      <c r="M54" s="310"/>
      <c r="N54" s="310"/>
      <c r="O54" s="310"/>
      <c r="P54" s="310"/>
      <c r="Q54" s="318"/>
    </row>
    <row r="55" ht="22" customHeight="1" spans="1:17">
      <c r="A55" s="309" t="s">
        <v>130</v>
      </c>
      <c r="B55" s="310">
        <f t="shared" si="4"/>
        <v>15.41</v>
      </c>
      <c r="C55" s="312">
        <v>0.23</v>
      </c>
      <c r="D55" s="310">
        <v>4.38</v>
      </c>
      <c r="E55" s="310">
        <v>0.22</v>
      </c>
      <c r="F55" s="310">
        <v>0.13</v>
      </c>
      <c r="G55" s="312">
        <v>0.12</v>
      </c>
      <c r="H55" s="310">
        <v>1.34</v>
      </c>
      <c r="I55" s="310">
        <v>0.03</v>
      </c>
      <c r="J55" s="312">
        <v>2.88</v>
      </c>
      <c r="K55" s="311">
        <v>0.99</v>
      </c>
      <c r="L55" s="316">
        <v>5.09</v>
      </c>
      <c r="M55" s="310"/>
      <c r="N55" s="310"/>
      <c r="O55" s="310"/>
      <c r="P55" s="310"/>
      <c r="Q55" s="318"/>
    </row>
    <row r="56" ht="22" customHeight="1" spans="1:17">
      <c r="A56" s="309" t="s">
        <v>131</v>
      </c>
      <c r="B56" s="310">
        <f t="shared" si="4"/>
        <v>21.11</v>
      </c>
      <c r="C56" s="312">
        <v>0.36</v>
      </c>
      <c r="D56" s="310">
        <v>7.39</v>
      </c>
      <c r="E56" s="310">
        <v>0.15</v>
      </c>
      <c r="F56" s="310">
        <v>0.13</v>
      </c>
      <c r="G56" s="312">
        <v>0.12</v>
      </c>
      <c r="H56" s="310">
        <v>1.66</v>
      </c>
      <c r="I56" s="310">
        <v>0.05</v>
      </c>
      <c r="J56" s="312">
        <v>2.1</v>
      </c>
      <c r="K56" s="311">
        <v>4.06</v>
      </c>
      <c r="L56" s="316">
        <v>5.09</v>
      </c>
      <c r="M56" s="310"/>
      <c r="N56" s="310"/>
      <c r="O56" s="310"/>
      <c r="P56" s="310"/>
      <c r="Q56" s="318"/>
    </row>
    <row r="57" ht="22" customHeight="1" spans="1:17">
      <c r="A57" s="309" t="s">
        <v>132</v>
      </c>
      <c r="B57" s="310">
        <f t="shared" si="4"/>
        <v>45.07</v>
      </c>
      <c r="C57" s="312">
        <v>1.59</v>
      </c>
      <c r="D57" s="310">
        <v>19.17</v>
      </c>
      <c r="E57" s="310">
        <v>0.97</v>
      </c>
      <c r="F57" s="310">
        <v>0.13</v>
      </c>
      <c r="G57" s="312">
        <v>0.12</v>
      </c>
      <c r="H57" s="310">
        <v>1.66</v>
      </c>
      <c r="I57" s="310">
        <v>0.51</v>
      </c>
      <c r="J57" s="312">
        <v>8.77</v>
      </c>
      <c r="K57" s="311">
        <v>0.99</v>
      </c>
      <c r="L57" s="316">
        <v>11.16</v>
      </c>
      <c r="M57" s="310"/>
      <c r="N57" s="310"/>
      <c r="O57" s="310"/>
      <c r="P57" s="310"/>
      <c r="Q57" s="318"/>
    </row>
    <row r="58" ht="22" customHeight="1" spans="1:17">
      <c r="A58" s="309" t="s">
        <v>133</v>
      </c>
      <c r="B58" s="310">
        <f t="shared" si="4"/>
        <v>124.18</v>
      </c>
      <c r="C58" s="312">
        <v>6.5</v>
      </c>
      <c r="D58" s="310">
        <v>52.59</v>
      </c>
      <c r="E58" s="310">
        <v>2.23</v>
      </c>
      <c r="F58" s="310">
        <v>0.13</v>
      </c>
      <c r="G58" s="312">
        <v>6.44</v>
      </c>
      <c r="H58" s="310">
        <v>5.31</v>
      </c>
      <c r="I58" s="310">
        <v>1.51</v>
      </c>
      <c r="J58" s="312">
        <v>13.49</v>
      </c>
      <c r="K58" s="311">
        <v>19.2</v>
      </c>
      <c r="L58" s="316">
        <v>16.78</v>
      </c>
      <c r="M58" s="310"/>
      <c r="N58" s="310"/>
      <c r="O58" s="310"/>
      <c r="P58" s="310"/>
      <c r="Q58" s="318"/>
    </row>
    <row r="59" ht="22" customHeight="1" spans="1:17">
      <c r="A59" s="309" t="s">
        <v>134</v>
      </c>
      <c r="B59" s="310">
        <f t="shared" si="4"/>
        <v>57.81</v>
      </c>
      <c r="C59" s="312">
        <v>1.57</v>
      </c>
      <c r="D59" s="310">
        <v>20.27</v>
      </c>
      <c r="E59" s="310">
        <v>1.56</v>
      </c>
      <c r="F59" s="310">
        <v>0.13</v>
      </c>
      <c r="G59" s="312">
        <v>0.12</v>
      </c>
      <c r="H59" s="310">
        <v>1.34</v>
      </c>
      <c r="I59" s="310">
        <v>0.3</v>
      </c>
      <c r="J59" s="312">
        <v>7.46</v>
      </c>
      <c r="K59" s="311">
        <v>16.18</v>
      </c>
      <c r="L59" s="316">
        <v>8.88</v>
      </c>
      <c r="M59" s="310"/>
      <c r="N59" s="310"/>
      <c r="O59" s="310"/>
      <c r="P59" s="310"/>
      <c r="Q59" s="318"/>
    </row>
    <row r="60" ht="22" customHeight="1" spans="1:17">
      <c r="A60" s="309" t="s">
        <v>135</v>
      </c>
      <c r="B60" s="310">
        <f t="shared" si="4"/>
        <v>59.2</v>
      </c>
      <c r="C60" s="312">
        <v>3.18</v>
      </c>
      <c r="D60" s="310">
        <v>21.64</v>
      </c>
      <c r="E60" s="310">
        <v>2.68</v>
      </c>
      <c r="F60" s="310">
        <v>5.58</v>
      </c>
      <c r="G60" s="312">
        <v>0.12</v>
      </c>
      <c r="H60" s="310">
        <v>1.34</v>
      </c>
      <c r="I60" s="310">
        <v>8.27</v>
      </c>
      <c r="J60" s="312">
        <v>7.73</v>
      </c>
      <c r="K60" s="311">
        <v>0.99</v>
      </c>
      <c r="L60" s="316">
        <v>7.67</v>
      </c>
      <c r="M60" s="310"/>
      <c r="N60" s="310"/>
      <c r="O60" s="310"/>
      <c r="P60" s="310"/>
      <c r="Q60" s="318"/>
    </row>
    <row r="61" ht="22" customHeight="1" spans="1:17">
      <c r="A61" s="309" t="s">
        <v>136</v>
      </c>
      <c r="B61" s="310">
        <f t="shared" si="4"/>
        <v>112.95</v>
      </c>
      <c r="C61" s="312">
        <v>2.49</v>
      </c>
      <c r="D61" s="310">
        <v>59.71</v>
      </c>
      <c r="E61" s="310">
        <v>1.79</v>
      </c>
      <c r="F61" s="310">
        <v>0.13</v>
      </c>
      <c r="G61" s="312">
        <v>0.12</v>
      </c>
      <c r="H61" s="310">
        <v>1.66</v>
      </c>
      <c r="I61" s="310">
        <v>1.32</v>
      </c>
      <c r="J61" s="312">
        <v>32.48</v>
      </c>
      <c r="K61" s="311">
        <v>0.99</v>
      </c>
      <c r="L61" s="316">
        <v>9.26</v>
      </c>
      <c r="M61" s="310"/>
      <c r="N61" s="310"/>
      <c r="O61" s="310"/>
      <c r="P61" s="310">
        <v>3</v>
      </c>
      <c r="Q61" s="318"/>
    </row>
    <row r="62" ht="22" customHeight="1" spans="1:17">
      <c r="A62" s="309" t="s">
        <v>137</v>
      </c>
      <c r="B62" s="310">
        <f t="shared" si="4"/>
        <v>35.67</v>
      </c>
      <c r="C62" s="312">
        <v>1.08</v>
      </c>
      <c r="D62" s="310">
        <v>12.87</v>
      </c>
      <c r="E62" s="310">
        <v>0.74</v>
      </c>
      <c r="F62" s="310">
        <v>1.33</v>
      </c>
      <c r="G62" s="312">
        <v>0.12</v>
      </c>
      <c r="H62" s="310">
        <v>1.34</v>
      </c>
      <c r="I62" s="310">
        <v>0.16</v>
      </c>
      <c r="J62" s="312">
        <v>4.71</v>
      </c>
      <c r="K62" s="311">
        <v>4.06</v>
      </c>
      <c r="L62" s="316">
        <v>9.26</v>
      </c>
      <c r="M62" s="310"/>
      <c r="N62" s="310"/>
      <c r="O62" s="310"/>
      <c r="P62" s="310"/>
      <c r="Q62" s="318"/>
    </row>
    <row r="63" ht="188" customHeight="1" spans="1:17">
      <c r="A63" s="313" t="s">
        <v>138</v>
      </c>
      <c r="B63" s="314"/>
      <c r="C63" s="314"/>
      <c r="D63" s="314"/>
      <c r="E63" s="314"/>
      <c r="F63" s="314"/>
      <c r="G63" s="314"/>
      <c r="H63" s="314"/>
      <c r="I63" s="314"/>
      <c r="J63" s="314"/>
      <c r="K63" s="314"/>
      <c r="L63" s="314"/>
      <c r="M63" s="314"/>
      <c r="N63" s="314"/>
      <c r="O63" s="314"/>
      <c r="P63" s="314"/>
      <c r="Q63" s="314"/>
    </row>
  </sheetData>
  <mergeCells count="3">
    <mergeCell ref="A2:Q2"/>
    <mergeCell ref="P3:Q3"/>
    <mergeCell ref="A63:Q63"/>
  </mergeCells>
  <printOptions horizontalCentered="1"/>
  <pageMargins left="0.472222222222222" right="0.472222222222222" top="0.590277777777778" bottom="0.786805555555556" header="0.5" footer="0.5"/>
  <pageSetup paperSize="8" fitToHeight="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D65"/>
  <sheetViews>
    <sheetView tabSelected="1" view="pageBreakPreview" zoomScale="90" zoomScaleNormal="100" zoomScaleSheetLayoutView="90" topLeftCell="CP1" workbookViewId="0">
      <selection activeCell="CY5" sqref="CY5"/>
    </sheetView>
  </sheetViews>
  <sheetFormatPr defaultColWidth="14.6666666666667" defaultRowHeight="10.5"/>
  <cols>
    <col min="1" max="1" width="17.9333333333333" style="116" customWidth="1"/>
    <col min="2" max="2" width="14.6666666666667" style="117" customWidth="1"/>
    <col min="3" max="3" width="17.25" style="118" customWidth="1"/>
    <col min="4" max="4" width="13.6666666666667" style="119" customWidth="1"/>
    <col min="5" max="5" width="11.1416666666667" style="119" customWidth="1"/>
    <col min="6" max="6" width="13.6666666666667" style="119" customWidth="1"/>
    <col min="7" max="7" width="13.6666666666667" style="120" customWidth="1"/>
    <col min="8" max="8" width="16.575" style="120" customWidth="1"/>
    <col min="9" max="10" width="14.8083333333333" style="120" customWidth="1"/>
    <col min="11" max="12" width="13.6666666666667" style="120" customWidth="1"/>
    <col min="13" max="13" width="15.075" style="120" customWidth="1"/>
    <col min="14" max="14" width="8.96666666666667" style="121" customWidth="1"/>
    <col min="15" max="15" width="12.9083333333333" style="122" customWidth="1"/>
    <col min="16" max="16" width="11.8166666666667" style="122" customWidth="1"/>
    <col min="17" max="17" width="9.91666666666667" style="122" customWidth="1"/>
    <col min="18" max="18" width="10.6916666666667" style="122" customWidth="1"/>
    <col min="19" max="19" width="7.5" style="122" customWidth="1"/>
    <col min="20" max="20" width="10.8583333333333" style="122" customWidth="1"/>
    <col min="21" max="21" width="9.575" style="122" customWidth="1"/>
    <col min="22" max="22" width="11.9333333333333" style="122" customWidth="1"/>
    <col min="23" max="23" width="10.325" style="122" customWidth="1"/>
    <col min="24" max="24" width="11.55" style="120" customWidth="1"/>
    <col min="25" max="25" width="10.5583333333333" style="122" customWidth="1"/>
    <col min="26" max="26" width="8.33333333333333" style="122" customWidth="1"/>
    <col min="27" max="27" width="7.35833333333333" style="122" customWidth="1"/>
    <col min="28" max="28" width="16.1666666666667" style="122" customWidth="1"/>
    <col min="29" max="29" width="9.50833333333333" style="122" customWidth="1"/>
    <col min="30" max="30" width="9.23333333333333" style="122" customWidth="1"/>
    <col min="31" max="31" width="9.50833333333333" style="122" customWidth="1"/>
    <col min="32" max="32" width="13.6666666666667" style="121" customWidth="1"/>
    <col min="33" max="33" width="13.6666666666667" style="122" customWidth="1"/>
    <col min="34" max="34" width="10.5916666666667" style="122" customWidth="1"/>
    <col min="35" max="35" width="11.55" style="122" customWidth="1"/>
    <col min="36" max="36" width="11.275" style="121" customWidth="1"/>
    <col min="37" max="37" width="11.8166666666667" style="122" customWidth="1"/>
    <col min="38" max="38" width="13.6666666666667" style="123" customWidth="1"/>
    <col min="39" max="39" width="12.3583333333333" style="123" customWidth="1"/>
    <col min="40" max="40" width="13.6666666666667" style="123" customWidth="1"/>
    <col min="41" max="41" width="13.6666666666667" style="124" customWidth="1"/>
    <col min="42" max="42" width="10.45" style="125" customWidth="1"/>
    <col min="43" max="43" width="13.6666666666667" style="125" customWidth="1"/>
    <col min="44" max="45" width="13.6666666666667" style="124" customWidth="1"/>
    <col min="46" max="46" width="11.95" style="126" customWidth="1"/>
    <col min="47" max="47" width="11.1333333333333" style="126" customWidth="1"/>
    <col min="48" max="48" width="13.6666666666667" style="126" customWidth="1"/>
    <col min="49" max="49" width="12.5" style="126" customWidth="1"/>
    <col min="50" max="50" width="10.45" style="126" customWidth="1"/>
    <col min="51" max="53" width="13.6666666666667" style="126" customWidth="1"/>
    <col min="54" max="54" width="12.0916666666667" style="126" customWidth="1"/>
    <col min="55" max="55" width="11.6833333333333" style="126" customWidth="1"/>
    <col min="56" max="56" width="13.6666666666667" style="127" customWidth="1"/>
    <col min="57" max="57" width="12.3583333333333" style="127" customWidth="1"/>
    <col min="58" max="58" width="13.6666666666667" style="127" customWidth="1"/>
    <col min="59" max="59" width="13.6666666666667" style="128" customWidth="1"/>
    <col min="60" max="60" width="9.23333333333333" style="121" customWidth="1"/>
    <col min="61" max="61" width="11.55" style="121" customWidth="1"/>
    <col min="62" max="62" width="10.0166666666667" style="119" customWidth="1"/>
    <col min="63" max="63" width="7.975" style="119" customWidth="1"/>
    <col min="64" max="64" width="12.225" style="119" customWidth="1"/>
    <col min="65" max="65" width="8.00833333333333" style="120" customWidth="1"/>
    <col min="66" max="66" width="12.225" style="121" customWidth="1"/>
    <col min="67" max="67" width="12.6416666666667" style="121" customWidth="1"/>
    <col min="68" max="68" width="18.3333333333333" style="121" customWidth="1"/>
    <col min="69" max="69" width="13.3333333333333" style="121" customWidth="1"/>
    <col min="70" max="70" width="9.16666666666667" style="121" customWidth="1"/>
    <col min="71" max="71" width="5.75833333333333" style="121" customWidth="1"/>
    <col min="72" max="72" width="27.675" style="119" customWidth="1"/>
    <col min="73" max="73" width="8.31666666666667" style="119" customWidth="1"/>
    <col min="74" max="74" width="9.58333333333333" style="119" customWidth="1"/>
    <col min="75" max="75" width="13.6083333333333" style="120" customWidth="1"/>
    <col min="76" max="79" width="14.7166666666667" style="129" customWidth="1"/>
    <col min="80" max="80" width="13.8833333333333" style="117" customWidth="1"/>
    <col min="81" max="81" width="9.50833333333333" style="117" customWidth="1"/>
    <col min="82" max="82" width="35.1333333333333" style="117" customWidth="1"/>
    <col min="83" max="83" width="11.95" style="117" customWidth="1"/>
    <col min="84" max="84" width="11.275" style="130" customWidth="1"/>
    <col min="85" max="85" width="11.6833333333333" style="131" customWidth="1"/>
    <col min="86" max="86" width="8.75" style="117" customWidth="1"/>
    <col min="87" max="87" width="8.2" style="117" customWidth="1"/>
    <col min="88" max="88" width="12.0916666666667" style="121" customWidth="1"/>
    <col min="89" max="89" width="9.775" style="122" customWidth="1"/>
    <col min="90" max="91" width="9.025" style="122" customWidth="1"/>
    <col min="92" max="92" width="12.6416666666667" style="121" customWidth="1"/>
    <col min="93" max="93" width="10.825" style="122" customWidth="1"/>
    <col min="94" max="94" width="13.6666666666667" style="122" customWidth="1"/>
    <col min="95" max="95" width="11.1083333333333" style="122" customWidth="1"/>
    <col min="96" max="96" width="13.6083333333333" style="122" customWidth="1"/>
    <col min="97" max="97" width="9.15833333333333" style="122" customWidth="1"/>
    <col min="98" max="98" width="11.3916666666667" style="122" customWidth="1"/>
    <col min="99" max="99" width="13.1916666666667" style="119" customWidth="1"/>
    <col min="100" max="100" width="10.525" style="119" customWidth="1"/>
    <col min="101" max="101" width="13.6666666666667" style="119" customWidth="1"/>
    <col min="102" max="102" width="13.6666666666667" style="131" customWidth="1"/>
    <col min="103" max="103" width="20.4083333333333" style="131" customWidth="1"/>
    <col min="104" max="104" width="11.3833333333333" style="130" customWidth="1"/>
    <col min="105" max="105" width="16.6666666666667" style="131" customWidth="1"/>
    <col min="106" max="106" width="39.025" style="131" customWidth="1"/>
    <col min="107" max="107" width="29.1583333333333" style="131" customWidth="1"/>
    <col min="108" max="108" width="37.6416666666667" style="131" customWidth="1"/>
    <col min="109" max="16383" width="14.6666666666667" style="132" customWidth="1"/>
    <col min="16384" max="16384" width="14.6666666666667" style="132"/>
  </cols>
  <sheetData>
    <row r="1" ht="27" spans="1:98">
      <c r="A1" s="133" t="s">
        <v>139</v>
      </c>
      <c r="B1" s="134"/>
      <c r="C1" s="121"/>
      <c r="M1" s="177"/>
      <c r="N1" s="178"/>
      <c r="O1" s="178"/>
      <c r="P1" s="178"/>
      <c r="Q1" s="178"/>
      <c r="R1" s="178"/>
      <c r="S1" s="178"/>
      <c r="T1" s="178"/>
      <c r="U1" s="178"/>
      <c r="V1" s="178"/>
      <c r="W1" s="178"/>
      <c r="AJ1" s="209"/>
      <c r="AK1" s="177"/>
      <c r="AL1" s="119"/>
      <c r="AM1" s="119"/>
      <c r="AN1" s="119"/>
      <c r="AO1" s="120"/>
      <c r="AP1" s="218"/>
      <c r="AQ1" s="218"/>
      <c r="AR1" s="120"/>
      <c r="AS1" s="120"/>
      <c r="AY1" s="209"/>
      <c r="AZ1" s="177"/>
      <c r="BP1" s="209"/>
      <c r="BQ1" s="177"/>
      <c r="BX1" s="122"/>
      <c r="BY1" s="122"/>
      <c r="BZ1" s="122"/>
      <c r="CA1" s="122"/>
      <c r="CB1" s="249"/>
      <c r="CC1" s="249"/>
      <c r="CD1" s="249"/>
      <c r="CE1" s="249"/>
      <c r="CF1" s="119"/>
      <c r="CG1" s="120"/>
      <c r="CH1" s="249"/>
      <c r="CI1" s="249"/>
      <c r="CR1" s="209"/>
      <c r="CS1" s="209"/>
      <c r="CT1" s="177"/>
    </row>
    <row r="2" ht="36.75" spans="1:100">
      <c r="A2" s="135" t="s">
        <v>140</v>
      </c>
      <c r="B2" s="135"/>
      <c r="C2" s="135"/>
      <c r="D2" s="135"/>
      <c r="E2" s="135"/>
      <c r="F2" s="135"/>
      <c r="G2" s="135"/>
      <c r="H2" s="135"/>
      <c r="I2" s="135"/>
      <c r="J2" s="135"/>
      <c r="K2" s="135"/>
      <c r="L2" s="135"/>
      <c r="M2" s="135"/>
      <c r="N2" s="179"/>
      <c r="O2" s="179"/>
      <c r="P2" s="179"/>
      <c r="Q2" s="179"/>
      <c r="R2" s="179"/>
      <c r="S2" s="179"/>
      <c r="T2" s="179"/>
      <c r="U2" s="179"/>
      <c r="V2" s="179"/>
      <c r="W2" s="179"/>
      <c r="X2" s="179"/>
      <c r="Y2" s="179"/>
      <c r="Z2" s="179"/>
      <c r="AA2" s="179"/>
      <c r="AB2" s="179"/>
      <c r="AC2" s="179"/>
      <c r="AD2" s="179"/>
      <c r="AE2" s="179"/>
      <c r="AF2" s="179"/>
      <c r="AG2" s="179"/>
      <c r="AH2" s="179"/>
      <c r="AI2" s="179"/>
      <c r="AJ2" s="179"/>
      <c r="AK2" s="179"/>
      <c r="AL2" s="210"/>
      <c r="AM2" s="210"/>
      <c r="AN2" s="210"/>
      <c r="AO2" s="219"/>
      <c r="AP2" s="220"/>
      <c r="AQ2" s="220"/>
      <c r="AR2" s="219"/>
      <c r="AS2" s="219"/>
      <c r="AT2" s="179"/>
      <c r="AU2" s="179"/>
      <c r="AV2" s="179"/>
      <c r="AW2" s="179"/>
      <c r="AX2" s="179"/>
      <c r="AY2" s="179"/>
      <c r="AZ2" s="179"/>
      <c r="BA2" s="179"/>
      <c r="BB2" s="179"/>
      <c r="BC2" s="179"/>
      <c r="BD2" s="210"/>
      <c r="BE2" s="210"/>
      <c r="BF2" s="210"/>
      <c r="BG2" s="219"/>
      <c r="BH2" s="229"/>
      <c r="BI2" s="229"/>
      <c r="BJ2" s="210"/>
      <c r="BK2" s="210"/>
      <c r="BL2" s="210"/>
      <c r="BM2" s="219"/>
      <c r="BN2" s="229"/>
      <c r="BO2" s="229"/>
      <c r="BP2" s="229"/>
      <c r="BQ2" s="229"/>
      <c r="BR2" s="229"/>
      <c r="BS2" s="229"/>
      <c r="BT2" s="210"/>
      <c r="BU2" s="210"/>
      <c r="BV2" s="210"/>
      <c r="BW2" s="219"/>
      <c r="BX2" s="179"/>
      <c r="BY2" s="179"/>
      <c r="BZ2" s="179"/>
      <c r="CA2" s="179"/>
      <c r="CB2" s="179"/>
      <c r="CC2" s="179"/>
      <c r="CD2" s="179"/>
      <c r="CE2" s="179"/>
      <c r="CF2" s="210"/>
      <c r="CG2" s="219"/>
      <c r="CH2" s="179"/>
      <c r="CI2" s="179"/>
      <c r="CJ2" s="179"/>
      <c r="CK2" s="179"/>
      <c r="CL2" s="179"/>
      <c r="CM2" s="179"/>
      <c r="CN2" s="229"/>
      <c r="CO2" s="179"/>
      <c r="CP2" s="179"/>
      <c r="CQ2" s="179"/>
      <c r="CR2" s="179"/>
      <c r="CS2" s="179"/>
      <c r="CT2" s="179"/>
      <c r="CU2" s="210"/>
      <c r="CV2" s="263"/>
    </row>
    <row r="3" ht="13" customHeight="1" spans="1:108">
      <c r="A3" s="136"/>
      <c r="B3" s="134"/>
      <c r="C3" s="137"/>
      <c r="D3" s="138"/>
      <c r="E3" s="138"/>
      <c r="F3" s="138"/>
      <c r="G3" s="139"/>
      <c r="H3" s="140"/>
      <c r="I3" s="140"/>
      <c r="J3" s="140"/>
      <c r="K3" s="140"/>
      <c r="L3" s="140"/>
      <c r="M3" s="180" t="s">
        <v>2</v>
      </c>
      <c r="N3" s="181"/>
      <c r="O3" s="182"/>
      <c r="P3" s="182"/>
      <c r="Q3" s="182"/>
      <c r="R3" s="182"/>
      <c r="S3" s="182"/>
      <c r="T3" s="182"/>
      <c r="U3" s="182"/>
      <c r="V3" s="182"/>
      <c r="W3" s="182"/>
      <c r="X3" s="139"/>
      <c r="Y3" s="182"/>
      <c r="Z3" s="182"/>
      <c r="AA3" s="182"/>
      <c r="AB3" s="182"/>
      <c r="AC3" s="182"/>
      <c r="AD3" s="182"/>
      <c r="AE3" s="182"/>
      <c r="AF3" s="181"/>
      <c r="AG3" s="182"/>
      <c r="AH3" s="182"/>
      <c r="AI3" s="182"/>
      <c r="AJ3" s="181"/>
      <c r="AK3" s="182"/>
      <c r="AL3" s="138"/>
      <c r="AM3" s="138"/>
      <c r="AN3" s="138"/>
      <c r="AO3" s="139"/>
      <c r="AP3" s="221"/>
      <c r="AQ3" s="221"/>
      <c r="AR3" s="139"/>
      <c r="AS3" s="139"/>
      <c r="AT3" s="181"/>
      <c r="AU3" s="181"/>
      <c r="AV3" s="181"/>
      <c r="AW3" s="181"/>
      <c r="AX3" s="181"/>
      <c r="AY3" s="181"/>
      <c r="AZ3" s="181"/>
      <c r="BA3" s="181"/>
      <c r="BB3" s="181"/>
      <c r="BC3" s="181"/>
      <c r="BD3" s="138"/>
      <c r="BE3" s="138"/>
      <c r="BF3" s="138"/>
      <c r="BG3" s="139"/>
      <c r="BH3" s="181"/>
      <c r="BI3" s="181"/>
      <c r="BJ3" s="138"/>
      <c r="BK3" s="138"/>
      <c r="BL3" s="138"/>
      <c r="BM3" s="139"/>
      <c r="BN3" s="181"/>
      <c r="BO3" s="181"/>
      <c r="BP3" s="181"/>
      <c r="BQ3" s="181"/>
      <c r="BR3" s="181"/>
      <c r="BS3" s="181"/>
      <c r="BT3" s="138"/>
      <c r="BU3" s="138"/>
      <c r="BV3" s="138"/>
      <c r="BW3" s="139"/>
      <c r="BX3" s="182"/>
      <c r="BY3" s="182"/>
      <c r="BZ3" s="182"/>
      <c r="CA3" s="182"/>
      <c r="CB3" s="178"/>
      <c r="CC3" s="178"/>
      <c r="CD3" s="178"/>
      <c r="CE3" s="178"/>
      <c r="CF3" s="119"/>
      <c r="CG3" s="120"/>
      <c r="CH3" s="178"/>
      <c r="CI3" s="178"/>
      <c r="CJ3" s="181"/>
      <c r="CK3" s="182"/>
      <c r="CL3" s="182"/>
      <c r="CM3" s="182"/>
      <c r="CN3" s="181"/>
      <c r="CO3" s="182"/>
      <c r="CP3" s="182"/>
      <c r="CQ3" s="182"/>
      <c r="CR3" s="182"/>
      <c r="CS3" s="182"/>
      <c r="CT3" s="182"/>
      <c r="CU3" s="138"/>
      <c r="CV3" s="138"/>
      <c r="DD3" s="279"/>
    </row>
    <row r="4" s="112" customFormat="1" ht="30" customHeight="1" spans="1:108">
      <c r="A4" s="141" t="s">
        <v>141</v>
      </c>
      <c r="B4" s="141" t="s">
        <v>142</v>
      </c>
      <c r="C4" s="142" t="s">
        <v>143</v>
      </c>
      <c r="D4" s="143"/>
      <c r="E4" s="143"/>
      <c r="F4" s="143"/>
      <c r="G4" s="144"/>
      <c r="H4" s="145" t="s">
        <v>144</v>
      </c>
      <c r="I4" s="144"/>
      <c r="J4" s="144"/>
      <c r="K4" s="144"/>
      <c r="L4" s="144"/>
      <c r="M4" s="144"/>
      <c r="N4" s="183" t="s">
        <v>145</v>
      </c>
      <c r="O4" s="184"/>
      <c r="P4" s="184"/>
      <c r="Q4" s="184"/>
      <c r="R4" s="184"/>
      <c r="S4" s="184"/>
      <c r="T4" s="184"/>
      <c r="U4" s="184"/>
      <c r="V4" s="184"/>
      <c r="W4" s="184"/>
      <c r="X4" s="145" t="s">
        <v>146</v>
      </c>
      <c r="Y4" s="144"/>
      <c r="Z4" s="144"/>
      <c r="AA4" s="144"/>
      <c r="AB4" s="144"/>
      <c r="AC4" s="144"/>
      <c r="AD4" s="144"/>
      <c r="AE4" s="144"/>
      <c r="AF4" s="201" t="s">
        <v>147</v>
      </c>
      <c r="AG4" s="211"/>
      <c r="AH4" s="211"/>
      <c r="AI4" s="211"/>
      <c r="AJ4" s="211"/>
      <c r="AK4" s="211"/>
      <c r="AL4" s="211"/>
      <c r="AM4" s="211"/>
      <c r="AN4" s="211"/>
      <c r="AO4" s="211"/>
      <c r="AP4" s="211"/>
      <c r="AQ4" s="211"/>
      <c r="AR4" s="211"/>
      <c r="AS4" s="222"/>
      <c r="AT4" s="183" t="s">
        <v>148</v>
      </c>
      <c r="AU4" s="184"/>
      <c r="AV4" s="184"/>
      <c r="AW4" s="184"/>
      <c r="AX4" s="184"/>
      <c r="AY4" s="184"/>
      <c r="AZ4" s="184"/>
      <c r="BA4" s="184"/>
      <c r="BB4" s="184"/>
      <c r="BC4" s="184"/>
      <c r="BD4" s="143"/>
      <c r="BE4" s="143"/>
      <c r="BF4" s="143"/>
      <c r="BG4" s="144"/>
      <c r="BH4" s="183" t="s">
        <v>149</v>
      </c>
      <c r="BI4" s="184"/>
      <c r="BJ4" s="143"/>
      <c r="BK4" s="143"/>
      <c r="BL4" s="143"/>
      <c r="BM4" s="144"/>
      <c r="BN4" s="183" t="s">
        <v>150</v>
      </c>
      <c r="BO4" s="184"/>
      <c r="BP4" s="184"/>
      <c r="BQ4" s="184"/>
      <c r="BR4" s="184"/>
      <c r="BS4" s="184"/>
      <c r="BT4" s="143"/>
      <c r="BU4" s="143"/>
      <c r="BV4" s="143"/>
      <c r="BW4" s="144"/>
      <c r="BX4" s="141" t="s">
        <v>151</v>
      </c>
      <c r="BY4" s="250"/>
      <c r="BZ4" s="250"/>
      <c r="CA4" s="250"/>
      <c r="CB4" s="250"/>
      <c r="CC4" s="250"/>
      <c r="CD4" s="250"/>
      <c r="CE4" s="250"/>
      <c r="CF4" s="143"/>
      <c r="CG4" s="144"/>
      <c r="CH4" s="183" t="s">
        <v>152</v>
      </c>
      <c r="CI4" s="184"/>
      <c r="CJ4" s="184"/>
      <c r="CK4" s="184"/>
      <c r="CL4" s="184"/>
      <c r="CM4" s="184"/>
      <c r="CN4" s="183" t="s">
        <v>153</v>
      </c>
      <c r="CO4" s="184"/>
      <c r="CP4" s="142" t="s">
        <v>154</v>
      </c>
      <c r="CQ4" s="145" t="s">
        <v>155</v>
      </c>
      <c r="CR4" s="144"/>
      <c r="CS4" s="144"/>
      <c r="CT4" s="144"/>
      <c r="CU4" s="144"/>
      <c r="CV4" s="144"/>
      <c r="CW4" s="144"/>
      <c r="CX4" s="144"/>
      <c r="CY4" s="264" t="s">
        <v>156</v>
      </c>
      <c r="CZ4" s="265"/>
      <c r="DA4" s="280"/>
      <c r="DB4" s="145" t="s">
        <v>157</v>
      </c>
      <c r="DC4" s="145" t="s">
        <v>158</v>
      </c>
      <c r="DD4" s="281" t="s">
        <v>159</v>
      </c>
    </row>
    <row r="5" s="113" customFormat="1" ht="36" customHeight="1" spans="1:108">
      <c r="A5" s="146"/>
      <c r="B5" s="146"/>
      <c r="C5" s="147" t="s">
        <v>160</v>
      </c>
      <c r="D5" s="147" t="s">
        <v>161</v>
      </c>
      <c r="E5" s="148" t="s">
        <v>162</v>
      </c>
      <c r="F5" s="148" t="s">
        <v>163</v>
      </c>
      <c r="G5" s="149" t="s">
        <v>164</v>
      </c>
      <c r="H5" s="149" t="s">
        <v>165</v>
      </c>
      <c r="I5" s="185" t="s">
        <v>166</v>
      </c>
      <c r="J5" s="147" t="s">
        <v>161</v>
      </c>
      <c r="K5" s="148" t="s">
        <v>162</v>
      </c>
      <c r="L5" s="148" t="s">
        <v>163</v>
      </c>
      <c r="M5" s="186" t="s">
        <v>164</v>
      </c>
      <c r="N5" s="185" t="s">
        <v>167</v>
      </c>
      <c r="O5" s="149" t="s">
        <v>168</v>
      </c>
      <c r="P5" s="149" t="s">
        <v>169</v>
      </c>
      <c r="Q5" s="149" t="s">
        <v>170</v>
      </c>
      <c r="R5" s="147" t="s">
        <v>161</v>
      </c>
      <c r="S5" s="148" t="s">
        <v>162</v>
      </c>
      <c r="T5" s="148" t="s">
        <v>163</v>
      </c>
      <c r="U5" s="186" t="s">
        <v>171</v>
      </c>
      <c r="V5" s="186" t="s">
        <v>172</v>
      </c>
      <c r="W5" s="186" t="s">
        <v>164</v>
      </c>
      <c r="X5" s="149" t="s">
        <v>173</v>
      </c>
      <c r="Y5" s="149" t="s">
        <v>174</v>
      </c>
      <c r="Z5" s="149" t="s">
        <v>175</v>
      </c>
      <c r="AA5" s="149" t="s">
        <v>176</v>
      </c>
      <c r="AB5" s="147" t="s">
        <v>161</v>
      </c>
      <c r="AC5" s="148" t="s">
        <v>162</v>
      </c>
      <c r="AD5" s="148" t="s">
        <v>163</v>
      </c>
      <c r="AE5" s="186" t="s">
        <v>164</v>
      </c>
      <c r="AF5" s="147" t="s">
        <v>177</v>
      </c>
      <c r="AG5" s="147" t="s">
        <v>178</v>
      </c>
      <c r="AH5" s="147" t="s">
        <v>179</v>
      </c>
      <c r="AI5" s="212" t="s">
        <v>180</v>
      </c>
      <c r="AJ5" s="212" t="s">
        <v>181</v>
      </c>
      <c r="AK5" s="212" t="s">
        <v>182</v>
      </c>
      <c r="AL5" s="147" t="s">
        <v>161</v>
      </c>
      <c r="AM5" s="148" t="s">
        <v>162</v>
      </c>
      <c r="AN5" s="148" t="s">
        <v>163</v>
      </c>
      <c r="AO5" s="149" t="s">
        <v>183</v>
      </c>
      <c r="AP5" s="212" t="s">
        <v>184</v>
      </c>
      <c r="AQ5" s="212" t="s">
        <v>161</v>
      </c>
      <c r="AR5" s="149" t="s">
        <v>185</v>
      </c>
      <c r="AS5" s="186" t="s">
        <v>164</v>
      </c>
      <c r="AT5" s="223" t="s">
        <v>186</v>
      </c>
      <c r="AU5" s="224" t="s">
        <v>187</v>
      </c>
      <c r="AV5" s="224" t="s">
        <v>188</v>
      </c>
      <c r="AW5" s="224" t="s">
        <v>189</v>
      </c>
      <c r="AX5" s="224" t="s">
        <v>190</v>
      </c>
      <c r="AY5" s="224" t="s">
        <v>191</v>
      </c>
      <c r="AZ5" s="224" t="s">
        <v>192</v>
      </c>
      <c r="BA5" s="224" t="s">
        <v>193</v>
      </c>
      <c r="BB5" s="224" t="s">
        <v>194</v>
      </c>
      <c r="BC5" s="224" t="s">
        <v>195</v>
      </c>
      <c r="BD5" s="226" t="s">
        <v>161</v>
      </c>
      <c r="BE5" s="148" t="s">
        <v>162</v>
      </c>
      <c r="BF5" s="148" t="s">
        <v>163</v>
      </c>
      <c r="BG5" s="186" t="s">
        <v>164</v>
      </c>
      <c r="BH5" s="230" t="s">
        <v>196</v>
      </c>
      <c r="BI5" s="230" t="s">
        <v>197</v>
      </c>
      <c r="BJ5" s="147" t="s">
        <v>161</v>
      </c>
      <c r="BK5" s="148" t="s">
        <v>162</v>
      </c>
      <c r="BL5" s="148" t="s">
        <v>163</v>
      </c>
      <c r="BM5" s="186" t="s">
        <v>164</v>
      </c>
      <c r="BN5" s="240" t="s">
        <v>198</v>
      </c>
      <c r="BO5" s="241" t="s">
        <v>199</v>
      </c>
      <c r="BP5" s="242" t="s">
        <v>200</v>
      </c>
      <c r="BQ5" s="243" t="s">
        <v>201</v>
      </c>
      <c r="BR5" s="243" t="s">
        <v>202</v>
      </c>
      <c r="BS5" s="243" t="s">
        <v>203</v>
      </c>
      <c r="BT5" s="148" t="s">
        <v>161</v>
      </c>
      <c r="BU5" s="148" t="s">
        <v>162</v>
      </c>
      <c r="BV5" s="148" t="s">
        <v>163</v>
      </c>
      <c r="BW5" s="251" t="s">
        <v>204</v>
      </c>
      <c r="BX5" s="212" t="s">
        <v>205</v>
      </c>
      <c r="BY5" s="212" t="s">
        <v>206</v>
      </c>
      <c r="BZ5" s="212" t="s">
        <v>207</v>
      </c>
      <c r="CA5" s="212" t="s">
        <v>208</v>
      </c>
      <c r="CB5" s="212" t="s">
        <v>209</v>
      </c>
      <c r="CC5" s="212" t="s">
        <v>210</v>
      </c>
      <c r="CD5" s="147" t="s">
        <v>161</v>
      </c>
      <c r="CE5" s="148" t="s">
        <v>162</v>
      </c>
      <c r="CF5" s="148" t="s">
        <v>163</v>
      </c>
      <c r="CG5" s="186" t="s">
        <v>164</v>
      </c>
      <c r="CH5" s="149" t="s">
        <v>211</v>
      </c>
      <c r="CI5" s="149" t="s">
        <v>212</v>
      </c>
      <c r="CJ5" s="147" t="s">
        <v>161</v>
      </c>
      <c r="CK5" s="148" t="s">
        <v>162</v>
      </c>
      <c r="CL5" s="148" t="s">
        <v>163</v>
      </c>
      <c r="CM5" s="257" t="s">
        <v>164</v>
      </c>
      <c r="CN5" s="230" t="s">
        <v>213</v>
      </c>
      <c r="CO5" s="257" t="s">
        <v>164</v>
      </c>
      <c r="CP5" s="258"/>
      <c r="CQ5" s="259" t="s">
        <v>214</v>
      </c>
      <c r="CR5" s="259" t="s">
        <v>215</v>
      </c>
      <c r="CS5" s="259" t="s">
        <v>216</v>
      </c>
      <c r="CT5" s="149" t="s">
        <v>217</v>
      </c>
      <c r="CU5" s="147" t="s">
        <v>161</v>
      </c>
      <c r="CV5" s="147" t="s">
        <v>218</v>
      </c>
      <c r="CW5" s="147" t="s">
        <v>163</v>
      </c>
      <c r="CX5" s="266" t="s">
        <v>164</v>
      </c>
      <c r="CY5" s="267" t="s">
        <v>219</v>
      </c>
      <c r="CZ5" s="268" t="s">
        <v>161</v>
      </c>
      <c r="DA5" s="266" t="s">
        <v>164</v>
      </c>
      <c r="DB5" s="149" t="s">
        <v>220</v>
      </c>
      <c r="DC5" s="149" t="s">
        <v>221</v>
      </c>
      <c r="DD5" s="282"/>
    </row>
    <row r="6" s="114" customFormat="1" ht="47" customHeight="1" spans="1:108">
      <c r="A6" s="150"/>
      <c r="B6" s="150" t="s">
        <v>222</v>
      </c>
      <c r="C6" s="151" t="s">
        <v>223</v>
      </c>
      <c r="D6" s="151" t="s">
        <v>224</v>
      </c>
      <c r="E6" s="151" t="s">
        <v>225</v>
      </c>
      <c r="F6" s="151" t="s">
        <v>226</v>
      </c>
      <c r="G6" s="152" t="s">
        <v>227</v>
      </c>
      <c r="H6" s="153" t="s">
        <v>223</v>
      </c>
      <c r="I6" s="153" t="s">
        <v>228</v>
      </c>
      <c r="J6" s="151" t="s">
        <v>229</v>
      </c>
      <c r="K6" s="151" t="s">
        <v>230</v>
      </c>
      <c r="L6" s="151" t="s">
        <v>231</v>
      </c>
      <c r="M6" s="152" t="s">
        <v>232</v>
      </c>
      <c r="N6" s="153" t="s">
        <v>223</v>
      </c>
      <c r="O6" s="153" t="s">
        <v>228</v>
      </c>
      <c r="P6" s="153" t="s">
        <v>233</v>
      </c>
      <c r="Q6" s="197" t="s">
        <v>234</v>
      </c>
      <c r="R6" s="198" t="s">
        <v>235</v>
      </c>
      <c r="S6" s="198" t="s">
        <v>236</v>
      </c>
      <c r="T6" s="198" t="s">
        <v>237</v>
      </c>
      <c r="U6" s="199" t="s">
        <v>238</v>
      </c>
      <c r="V6" s="199" t="s">
        <v>239</v>
      </c>
      <c r="W6" s="199" t="s">
        <v>240</v>
      </c>
      <c r="X6" s="153" t="s">
        <v>223</v>
      </c>
      <c r="Y6" s="153" t="s">
        <v>228</v>
      </c>
      <c r="Z6" s="153" t="s">
        <v>233</v>
      </c>
      <c r="AA6" s="153" t="s">
        <v>234</v>
      </c>
      <c r="AB6" s="198" t="s">
        <v>241</v>
      </c>
      <c r="AC6" s="151" t="s">
        <v>242</v>
      </c>
      <c r="AD6" s="151" t="s">
        <v>243</v>
      </c>
      <c r="AE6" s="199" t="s">
        <v>244</v>
      </c>
      <c r="AF6" s="153" t="s">
        <v>223</v>
      </c>
      <c r="AG6" s="153" t="s">
        <v>228</v>
      </c>
      <c r="AH6" s="153" t="s">
        <v>233</v>
      </c>
      <c r="AI6" s="213" t="s">
        <v>234</v>
      </c>
      <c r="AJ6" s="213" t="s">
        <v>245</v>
      </c>
      <c r="AK6" s="213" t="s">
        <v>246</v>
      </c>
      <c r="AL6" s="198" t="s">
        <v>247</v>
      </c>
      <c r="AM6" s="151" t="s">
        <v>248</v>
      </c>
      <c r="AN6" s="151" t="s">
        <v>249</v>
      </c>
      <c r="AO6" s="152" t="s">
        <v>250</v>
      </c>
      <c r="AP6" s="197" t="s">
        <v>251</v>
      </c>
      <c r="AQ6" s="198" t="s">
        <v>252</v>
      </c>
      <c r="AR6" s="152" t="s">
        <v>253</v>
      </c>
      <c r="AS6" s="152" t="s">
        <v>254</v>
      </c>
      <c r="AT6" s="197" t="s">
        <v>255</v>
      </c>
      <c r="AU6" s="197" t="s">
        <v>256</v>
      </c>
      <c r="AV6" s="197" t="s">
        <v>257</v>
      </c>
      <c r="AW6" s="227" t="s">
        <v>258</v>
      </c>
      <c r="AX6" s="197" t="s">
        <v>259</v>
      </c>
      <c r="AY6" s="197" t="s">
        <v>260</v>
      </c>
      <c r="AZ6" s="197" t="s">
        <v>261</v>
      </c>
      <c r="BA6" s="227" t="s">
        <v>262</v>
      </c>
      <c r="BB6" s="197" t="s">
        <v>263</v>
      </c>
      <c r="BC6" s="197" t="s">
        <v>264</v>
      </c>
      <c r="BD6" s="198" t="s">
        <v>265</v>
      </c>
      <c r="BE6" s="231" t="s">
        <v>266</v>
      </c>
      <c r="BF6" s="198" t="s">
        <v>267</v>
      </c>
      <c r="BG6" s="152" t="s">
        <v>268</v>
      </c>
      <c r="BH6" s="153" t="s">
        <v>223</v>
      </c>
      <c r="BI6" s="153" t="s">
        <v>228</v>
      </c>
      <c r="BJ6" s="151" t="s">
        <v>269</v>
      </c>
      <c r="BK6" s="151" t="s">
        <v>230</v>
      </c>
      <c r="BL6" s="151" t="s">
        <v>270</v>
      </c>
      <c r="BM6" s="152" t="s">
        <v>271</v>
      </c>
      <c r="BN6" s="153" t="s">
        <v>223</v>
      </c>
      <c r="BO6" s="153" t="s">
        <v>228</v>
      </c>
      <c r="BP6" s="153" t="s">
        <v>233</v>
      </c>
      <c r="BQ6" s="213" t="s">
        <v>234</v>
      </c>
      <c r="BR6" s="213" t="s">
        <v>245</v>
      </c>
      <c r="BS6" s="213" t="s">
        <v>246</v>
      </c>
      <c r="BT6" s="244" t="s">
        <v>272</v>
      </c>
      <c r="BU6" s="252" t="s">
        <v>273</v>
      </c>
      <c r="BV6" s="253" t="s">
        <v>249</v>
      </c>
      <c r="BW6" s="152" t="s">
        <v>274</v>
      </c>
      <c r="BX6" s="153" t="s">
        <v>223</v>
      </c>
      <c r="BY6" s="153" t="s">
        <v>228</v>
      </c>
      <c r="BZ6" s="153" t="s">
        <v>233</v>
      </c>
      <c r="CA6" s="213" t="s">
        <v>234</v>
      </c>
      <c r="CB6" s="213" t="s">
        <v>245</v>
      </c>
      <c r="CC6" s="213" t="s">
        <v>246</v>
      </c>
      <c r="CD6" s="254" t="s">
        <v>275</v>
      </c>
      <c r="CE6" s="255" t="s">
        <v>273</v>
      </c>
      <c r="CF6" s="253" t="s">
        <v>249</v>
      </c>
      <c r="CG6" s="152" t="s">
        <v>276</v>
      </c>
      <c r="CH6" s="153" t="s">
        <v>223</v>
      </c>
      <c r="CI6" s="153" t="s">
        <v>228</v>
      </c>
      <c r="CJ6" s="198" t="s">
        <v>277</v>
      </c>
      <c r="CK6" s="198" t="s">
        <v>278</v>
      </c>
      <c r="CL6" s="198" t="s">
        <v>279</v>
      </c>
      <c r="CM6" s="199" t="s">
        <v>280</v>
      </c>
      <c r="CN6" s="153" t="s">
        <v>223</v>
      </c>
      <c r="CO6" s="199" t="s">
        <v>281</v>
      </c>
      <c r="CP6" s="199" t="s">
        <v>282</v>
      </c>
      <c r="CQ6" s="153" t="s">
        <v>223</v>
      </c>
      <c r="CR6" s="153" t="s">
        <v>228</v>
      </c>
      <c r="CS6" s="153" t="s">
        <v>233</v>
      </c>
      <c r="CT6" s="213" t="s">
        <v>234</v>
      </c>
      <c r="CU6" s="198" t="s">
        <v>283</v>
      </c>
      <c r="CV6" s="198" t="s">
        <v>284</v>
      </c>
      <c r="CW6" s="198" t="s">
        <v>237</v>
      </c>
      <c r="CX6" s="269" t="s">
        <v>285</v>
      </c>
      <c r="CY6" s="153" t="s">
        <v>223</v>
      </c>
      <c r="CZ6" s="151" t="s">
        <v>228</v>
      </c>
      <c r="DA6" s="283" t="s">
        <v>286</v>
      </c>
      <c r="DB6" s="284" t="s">
        <v>287</v>
      </c>
      <c r="DC6" s="284" t="s">
        <v>288</v>
      </c>
      <c r="DD6" s="285" t="s">
        <v>289</v>
      </c>
    </row>
    <row r="7" s="115" customFormat="1" ht="10" customHeight="1" spans="1:108">
      <c r="A7" s="154" t="s">
        <v>82</v>
      </c>
      <c r="B7" s="155"/>
      <c r="C7" s="156">
        <f>C8+C29</f>
        <v>30790472</v>
      </c>
      <c r="D7" s="157">
        <f>D8+D29</f>
        <v>1</v>
      </c>
      <c r="E7" s="157"/>
      <c r="F7" s="157">
        <f t="shared" ref="F7:J7" si="0">F8+F29</f>
        <v>1.00000229906659</v>
      </c>
      <c r="G7" s="158">
        <f t="shared" si="0"/>
        <v>204.97</v>
      </c>
      <c r="H7" s="159">
        <f>SUM(H8,H29)</f>
        <v>56714</v>
      </c>
      <c r="I7" s="159">
        <f t="shared" ref="I7:Q7" si="1">SUM(I8,I29)</f>
        <v>1100380</v>
      </c>
      <c r="J7" s="187">
        <f t="shared" si="0"/>
        <v>1</v>
      </c>
      <c r="K7" s="188"/>
      <c r="L7" s="188">
        <f>L8+L29</f>
        <v>0.9998</v>
      </c>
      <c r="M7" s="189">
        <f t="shared" si="1"/>
        <v>2738.86</v>
      </c>
      <c r="N7" s="159">
        <f t="shared" si="1"/>
        <v>275</v>
      </c>
      <c r="O7" s="159">
        <f t="shared" si="1"/>
        <v>1</v>
      </c>
      <c r="P7" s="159">
        <f t="shared" si="1"/>
        <v>1</v>
      </c>
      <c r="Q7" s="159">
        <f t="shared" si="1"/>
        <v>11195</v>
      </c>
      <c r="R7" s="188">
        <f>R8+R29</f>
        <v>1.0001</v>
      </c>
      <c r="S7" s="188"/>
      <c r="T7" s="188">
        <f>T8+T29</f>
        <v>1</v>
      </c>
      <c r="U7" s="189">
        <f t="shared" ref="U7:AA7" si="2">SUM(U8,U29)</f>
        <v>701.4</v>
      </c>
      <c r="V7" s="189">
        <f t="shared" si="2"/>
        <v>500</v>
      </c>
      <c r="W7" s="189">
        <f t="shared" si="2"/>
        <v>1201.4</v>
      </c>
      <c r="X7" s="159">
        <f t="shared" si="2"/>
        <v>101021</v>
      </c>
      <c r="Y7" s="159">
        <f t="shared" si="2"/>
        <v>132075</v>
      </c>
      <c r="Z7" s="159">
        <f t="shared" si="2"/>
        <v>123</v>
      </c>
      <c r="AA7" s="159">
        <f t="shared" si="2"/>
        <v>20</v>
      </c>
      <c r="AB7" s="187">
        <f t="shared" ref="AB7:AE7" si="3">AB8+AB29</f>
        <v>1</v>
      </c>
      <c r="AC7" s="187"/>
      <c r="AD7" s="187">
        <f t="shared" si="3"/>
        <v>1</v>
      </c>
      <c r="AE7" s="189">
        <f t="shared" si="3"/>
        <v>1329.42</v>
      </c>
      <c r="AF7" s="159">
        <f t="shared" ref="AF7:AR7" si="4">SUM(AF8,AF29)</f>
        <v>3390</v>
      </c>
      <c r="AG7" s="159">
        <f t="shared" si="4"/>
        <v>25240</v>
      </c>
      <c r="AH7" s="156">
        <f>AH8+AH29</f>
        <v>116</v>
      </c>
      <c r="AI7" s="155">
        <f t="shared" si="4"/>
        <v>13</v>
      </c>
      <c r="AJ7" s="155">
        <f t="shared" si="4"/>
        <v>2</v>
      </c>
      <c r="AK7" s="155">
        <f t="shared" si="4"/>
        <v>24.5</v>
      </c>
      <c r="AL7" s="187">
        <f t="shared" si="4"/>
        <v>0.999980363279332</v>
      </c>
      <c r="AM7" s="187"/>
      <c r="AN7" s="187">
        <f t="shared" ref="AN7:AS7" si="5">SUM(AN8,AN29)</f>
        <v>1</v>
      </c>
      <c r="AO7" s="189">
        <f t="shared" si="5"/>
        <v>203.7</v>
      </c>
      <c r="AP7" s="155">
        <f t="shared" si="5"/>
        <v>19</v>
      </c>
      <c r="AQ7" s="174">
        <f t="shared" si="5"/>
        <v>1</v>
      </c>
      <c r="AR7" s="175">
        <f t="shared" si="5"/>
        <v>95.5</v>
      </c>
      <c r="AS7" s="175">
        <f t="shared" si="5"/>
        <v>299.2</v>
      </c>
      <c r="AT7" s="156">
        <f>AT8+AT29</f>
        <v>72</v>
      </c>
      <c r="AU7" s="156">
        <f>AU8+AU29</f>
        <v>5591</v>
      </c>
      <c r="AV7" s="156">
        <f t="shared" ref="AV7:BC7" si="6">AV8+AV29</f>
        <v>4500</v>
      </c>
      <c r="AW7" s="156">
        <f t="shared" si="6"/>
        <v>1200</v>
      </c>
      <c r="AX7" s="156">
        <f t="shared" si="6"/>
        <v>20</v>
      </c>
      <c r="AY7" s="156">
        <f t="shared" si="6"/>
        <v>40</v>
      </c>
      <c r="AZ7" s="156">
        <f t="shared" si="6"/>
        <v>5</v>
      </c>
      <c r="BA7" s="156">
        <f t="shared" si="6"/>
        <v>13</v>
      </c>
      <c r="BB7" s="156">
        <f t="shared" si="6"/>
        <v>5</v>
      </c>
      <c r="BC7" s="156">
        <f t="shared" si="6"/>
        <v>0</v>
      </c>
      <c r="BD7" s="157">
        <f>SUM(BD8,BD29)</f>
        <v>1</v>
      </c>
      <c r="BE7" s="157"/>
      <c r="BF7" s="157">
        <f>SUM(BF8,BF29)</f>
        <v>1</v>
      </c>
      <c r="BG7" s="158">
        <f>SUM(BG8,BG29)</f>
        <v>188.45</v>
      </c>
      <c r="BH7" s="156">
        <f t="shared" ref="BH7:BM7" si="7">BH8+BH29</f>
        <v>864</v>
      </c>
      <c r="BI7" s="156">
        <f t="shared" si="7"/>
        <v>49581</v>
      </c>
      <c r="BJ7" s="157">
        <f t="shared" si="7"/>
        <v>1</v>
      </c>
      <c r="BK7" s="157"/>
      <c r="BL7" s="157">
        <f t="shared" si="7"/>
        <v>1</v>
      </c>
      <c r="BM7" s="158">
        <f t="shared" si="7"/>
        <v>193.8</v>
      </c>
      <c r="BN7" s="156"/>
      <c r="BO7" s="156"/>
      <c r="BP7" s="156"/>
      <c r="BQ7" s="156"/>
      <c r="BR7" s="156"/>
      <c r="BS7" s="156"/>
      <c r="BT7" s="157">
        <f>BT8+BT29</f>
        <v>1.00001539463786</v>
      </c>
      <c r="BU7" s="157"/>
      <c r="BV7" s="157">
        <f t="shared" ref="BT7:CE7" si="8">BV8+BV29</f>
        <v>1</v>
      </c>
      <c r="BW7" s="158">
        <f t="shared" si="8"/>
        <v>1349.5</v>
      </c>
      <c r="BX7" s="155">
        <f t="shared" si="8"/>
        <v>43</v>
      </c>
      <c r="BY7" s="155">
        <f t="shared" si="8"/>
        <v>35</v>
      </c>
      <c r="BZ7" s="155">
        <f t="shared" si="8"/>
        <v>155</v>
      </c>
      <c r="CA7" s="155">
        <f t="shared" si="8"/>
        <v>5</v>
      </c>
      <c r="CB7" s="155">
        <f t="shared" si="8"/>
        <v>2</v>
      </c>
      <c r="CC7" s="155">
        <f t="shared" si="8"/>
        <v>8</v>
      </c>
      <c r="CD7" s="174">
        <f t="shared" si="8"/>
        <v>1</v>
      </c>
      <c r="CE7" s="174"/>
      <c r="CF7" s="174">
        <f t="shared" ref="CF7:CJ7" si="9">CF8+CF29</f>
        <v>1</v>
      </c>
      <c r="CG7" s="158">
        <f t="shared" si="9"/>
        <v>580</v>
      </c>
      <c r="CH7" s="159">
        <f>SUM(CH8,CH29)</f>
        <v>32000</v>
      </c>
      <c r="CI7" s="159">
        <f>SUM(CI8,CI29)</f>
        <v>12000</v>
      </c>
      <c r="CJ7" s="188">
        <f t="shared" si="9"/>
        <v>0.9997</v>
      </c>
      <c r="CK7" s="188"/>
      <c r="CL7" s="188">
        <f>CL8+CL29</f>
        <v>1</v>
      </c>
      <c r="CM7" s="189">
        <f t="shared" ref="CM7:CP7" si="10">SUM(CM8,CM29)</f>
        <v>125</v>
      </c>
      <c r="CN7" s="159">
        <f t="shared" si="10"/>
        <v>7000</v>
      </c>
      <c r="CO7" s="189">
        <f t="shared" si="10"/>
        <v>35</v>
      </c>
      <c r="CP7" s="189">
        <f t="shared" si="10"/>
        <v>820</v>
      </c>
      <c r="CQ7" s="260">
        <f>CQ8+CQ29</f>
        <v>124</v>
      </c>
      <c r="CR7" s="260">
        <f>CR8+CR29</f>
        <v>9</v>
      </c>
      <c r="CS7" s="260">
        <f>CS8+CS29</f>
        <v>124</v>
      </c>
      <c r="CT7" s="159">
        <f>CT8+CT29</f>
        <v>4591</v>
      </c>
      <c r="CU7" s="157">
        <v>1</v>
      </c>
      <c r="CV7" s="157"/>
      <c r="CW7" s="157">
        <f>CW8+CW29</f>
        <v>1</v>
      </c>
      <c r="CX7" s="270">
        <f t="shared" ref="CX7:DC7" si="11">SUM(CX8,CX29)</f>
        <v>759.15</v>
      </c>
      <c r="CY7" s="173">
        <f t="shared" si="11"/>
        <v>6</v>
      </c>
      <c r="CZ7" s="174">
        <f t="shared" si="11"/>
        <v>1</v>
      </c>
      <c r="DA7" s="175">
        <f t="shared" si="11"/>
        <v>18</v>
      </c>
      <c r="DB7" s="175">
        <f t="shared" si="11"/>
        <v>120</v>
      </c>
      <c r="DC7" s="175">
        <f t="shared" si="11"/>
        <v>50</v>
      </c>
      <c r="DD7" s="286">
        <f>DD8+DD29</f>
        <v>9272.75</v>
      </c>
    </row>
    <row r="8" s="115" customFormat="1" ht="10" customHeight="1" spans="1:108">
      <c r="A8" s="160" t="s">
        <v>290</v>
      </c>
      <c r="B8" s="155"/>
      <c r="C8" s="156">
        <f t="shared" ref="C8:J8" si="12">SUM(C9:C28)</f>
        <v>22889603</v>
      </c>
      <c r="D8" s="157">
        <f t="shared" si="12"/>
        <v>0.7433</v>
      </c>
      <c r="E8" s="157"/>
      <c r="F8" s="157">
        <f t="shared" si="12"/>
        <v>0.678383555722608</v>
      </c>
      <c r="G8" s="158">
        <f t="shared" si="12"/>
        <v>139.08</v>
      </c>
      <c r="H8" s="159">
        <f t="shared" si="12"/>
        <v>47172</v>
      </c>
      <c r="I8" s="159">
        <f t="shared" si="12"/>
        <v>755408</v>
      </c>
      <c r="J8" s="187">
        <f t="shared" si="12"/>
        <v>0.7722</v>
      </c>
      <c r="K8" s="188"/>
      <c r="L8" s="188">
        <f t="shared" ref="L8:T8" si="13">SUM(L9:L28)</f>
        <v>0.7041</v>
      </c>
      <c r="M8" s="189">
        <f t="shared" si="13"/>
        <v>1928.94</v>
      </c>
      <c r="N8" s="159">
        <f t="shared" si="13"/>
        <v>275</v>
      </c>
      <c r="O8" s="159">
        <f t="shared" si="13"/>
        <v>0</v>
      </c>
      <c r="P8" s="159">
        <f t="shared" si="13"/>
        <v>1</v>
      </c>
      <c r="Q8" s="159">
        <f t="shared" si="13"/>
        <v>6896</v>
      </c>
      <c r="R8" s="188">
        <f t="shared" si="13"/>
        <v>0.9037</v>
      </c>
      <c r="S8" s="188"/>
      <c r="T8" s="188">
        <f>SUM(T9:T28)</f>
        <v>0.897610196494956</v>
      </c>
      <c r="U8" s="189">
        <f>SUM(U9:U28)</f>
        <v>629.61</v>
      </c>
      <c r="V8" s="189">
        <f>SUM(V9:V28)</f>
        <v>500</v>
      </c>
      <c r="W8" s="189">
        <f>SUM(W9:W28)</f>
        <v>1129.61</v>
      </c>
      <c r="X8" s="200">
        <f t="shared" ref="X8:AE8" si="14">SUM(X9:X28)</f>
        <v>99751</v>
      </c>
      <c r="Y8" s="202">
        <f t="shared" si="14"/>
        <v>131675</v>
      </c>
      <c r="Z8" s="202">
        <f t="shared" si="14"/>
        <v>88</v>
      </c>
      <c r="AA8" s="202">
        <f t="shared" si="14"/>
        <v>20</v>
      </c>
      <c r="AB8" s="187">
        <f t="shared" si="14"/>
        <v>0.9909</v>
      </c>
      <c r="AC8" s="187">
        <f t="shared" si="14"/>
        <v>0.80715</v>
      </c>
      <c r="AD8" s="157">
        <f t="shared" si="14"/>
        <v>0.9895</v>
      </c>
      <c r="AE8" s="189">
        <f t="shared" si="14"/>
        <v>1315.56</v>
      </c>
      <c r="AF8" s="159">
        <f t="shared" ref="AB8:AN8" si="15">SUM(AF9:AF28)</f>
        <v>3390</v>
      </c>
      <c r="AG8" s="159">
        <f t="shared" si="15"/>
        <v>25240</v>
      </c>
      <c r="AH8" s="156">
        <f t="shared" si="15"/>
        <v>81</v>
      </c>
      <c r="AI8" s="155">
        <f t="shared" si="15"/>
        <v>12</v>
      </c>
      <c r="AJ8" s="155">
        <f t="shared" si="15"/>
        <v>2</v>
      </c>
      <c r="AK8" s="155">
        <f t="shared" si="15"/>
        <v>18</v>
      </c>
      <c r="AL8" s="187">
        <f t="shared" si="15"/>
        <v>0.909160530191458</v>
      </c>
      <c r="AM8" s="187"/>
      <c r="AN8" s="187">
        <f>SUM(AN9:AN28)</f>
        <v>0.886</v>
      </c>
      <c r="AO8" s="189">
        <f>SUM(AO9:AO28)</f>
        <v>180.54</v>
      </c>
      <c r="AP8" s="155">
        <v>9</v>
      </c>
      <c r="AQ8" s="155">
        <f>ROUND((AP8*5.026)/95.5,4)</f>
        <v>0.4737</v>
      </c>
      <c r="AR8" s="175">
        <f>SUM(AR9:AR28)</f>
        <v>45.24</v>
      </c>
      <c r="AS8" s="175">
        <f>SUM(AS9:AS28)</f>
        <v>225.78</v>
      </c>
      <c r="AT8" s="156">
        <f>SUM(AT9:AT28)</f>
        <v>37</v>
      </c>
      <c r="AU8" s="156">
        <f>SUM(AU9:AU28)</f>
        <v>5591</v>
      </c>
      <c r="AV8" s="156">
        <f t="shared" ref="AV8:BD8" si="16">SUM(AV9:AV28)</f>
        <v>4000</v>
      </c>
      <c r="AW8" s="156">
        <f t="shared" si="16"/>
        <v>1200</v>
      </c>
      <c r="AX8" s="156">
        <f t="shared" si="16"/>
        <v>20</v>
      </c>
      <c r="AY8" s="156">
        <f t="shared" si="16"/>
        <v>30</v>
      </c>
      <c r="AZ8" s="156">
        <f t="shared" si="16"/>
        <v>5</v>
      </c>
      <c r="BA8" s="156">
        <f t="shared" si="16"/>
        <v>13</v>
      </c>
      <c r="BB8" s="156">
        <f t="shared" si="16"/>
        <v>4</v>
      </c>
      <c r="BC8" s="156">
        <f t="shared" si="16"/>
        <v>0</v>
      </c>
      <c r="BD8" s="157">
        <f t="shared" si="16"/>
        <v>0.7229</v>
      </c>
      <c r="BE8" s="157"/>
      <c r="BF8" s="157">
        <f>SUM(BF9:BF28)</f>
        <v>0.7063</v>
      </c>
      <c r="BG8" s="158">
        <f>SUM(BG9:BG28)</f>
        <v>133.04</v>
      </c>
      <c r="BH8" s="156">
        <f t="shared" ref="BH8:BM8" si="17">SUM(BH9:BH28)</f>
        <v>400</v>
      </c>
      <c r="BI8" s="156">
        <f t="shared" si="17"/>
        <v>36278</v>
      </c>
      <c r="BJ8" s="157">
        <f t="shared" si="17"/>
        <v>0.509639064924874</v>
      </c>
      <c r="BK8" s="157"/>
      <c r="BL8" s="157">
        <f t="shared" si="17"/>
        <v>0.491798338609893</v>
      </c>
      <c r="BM8" s="158">
        <f t="shared" si="17"/>
        <v>95.3</v>
      </c>
      <c r="BN8" s="156"/>
      <c r="BO8" s="156"/>
      <c r="BP8" s="156"/>
      <c r="BQ8" s="156"/>
      <c r="BR8" s="156"/>
      <c r="BS8" s="156"/>
      <c r="BT8" s="157">
        <f t="shared" ref="BT8:CE8" si="18">SUM(BT9:BT28)</f>
        <v>0.782996859028548</v>
      </c>
      <c r="BU8" s="157"/>
      <c r="BV8" s="157">
        <f t="shared" si="18"/>
        <v>0.7792</v>
      </c>
      <c r="BW8" s="158">
        <f t="shared" si="18"/>
        <v>1060.36</v>
      </c>
      <c r="BX8" s="155">
        <f t="shared" si="18"/>
        <v>38</v>
      </c>
      <c r="BY8" s="155">
        <f t="shared" si="18"/>
        <v>26</v>
      </c>
      <c r="BZ8" s="155">
        <f t="shared" si="18"/>
        <v>120</v>
      </c>
      <c r="CA8" s="155">
        <f t="shared" si="18"/>
        <v>5</v>
      </c>
      <c r="CB8" s="155">
        <f t="shared" si="18"/>
        <v>2</v>
      </c>
      <c r="CC8" s="155">
        <f t="shared" ref="CC8:CJ8" si="19">SUM(CC9:CC28)</f>
        <v>8</v>
      </c>
      <c r="CD8" s="155">
        <f t="shared" si="19"/>
        <v>0.7642</v>
      </c>
      <c r="CE8" s="155"/>
      <c r="CF8" s="174">
        <f t="shared" si="19"/>
        <v>0.7621</v>
      </c>
      <c r="CG8" s="158">
        <f t="shared" si="19"/>
        <v>441.92</v>
      </c>
      <c r="CH8" s="159">
        <f t="shared" si="19"/>
        <v>25500</v>
      </c>
      <c r="CI8" s="159">
        <f t="shared" si="19"/>
        <v>10000</v>
      </c>
      <c r="CJ8" s="188">
        <f t="shared" si="19"/>
        <v>0.8055</v>
      </c>
      <c r="CK8" s="188"/>
      <c r="CL8" s="188">
        <f t="shared" ref="CL8:CO8" si="20">SUM(CL9:CL28)</f>
        <v>0.797360045912245</v>
      </c>
      <c r="CM8" s="189">
        <f t="shared" si="20"/>
        <v>99.67</v>
      </c>
      <c r="CN8" s="159">
        <f t="shared" si="20"/>
        <v>7000</v>
      </c>
      <c r="CO8" s="189">
        <f t="shared" si="20"/>
        <v>35</v>
      </c>
      <c r="CP8" s="189">
        <f t="shared" ref="CP8:CU8" si="21">SUM(CP9:CP28)</f>
        <v>656.59</v>
      </c>
      <c r="CQ8" s="260">
        <f t="shared" si="21"/>
        <v>89</v>
      </c>
      <c r="CR8" s="260">
        <f t="shared" si="21"/>
        <v>6</v>
      </c>
      <c r="CS8" s="260">
        <f t="shared" si="21"/>
        <v>89</v>
      </c>
      <c r="CT8" s="156">
        <f t="shared" si="21"/>
        <v>2787</v>
      </c>
      <c r="CU8" s="157">
        <f t="shared" si="21"/>
        <v>0.639629766513726</v>
      </c>
      <c r="CV8" s="157"/>
      <c r="CW8" s="157">
        <f t="shared" ref="CW8:DD8" si="22">SUM(CW9:CW28)</f>
        <v>0.5737</v>
      </c>
      <c r="CX8" s="270">
        <f t="shared" si="22"/>
        <v>435.52</v>
      </c>
      <c r="CY8" s="173">
        <f t="shared" si="22"/>
        <v>6</v>
      </c>
      <c r="CZ8" s="174">
        <f t="shared" si="22"/>
        <v>1</v>
      </c>
      <c r="DA8" s="175">
        <f t="shared" si="22"/>
        <v>18</v>
      </c>
      <c r="DB8" s="175">
        <f t="shared" si="22"/>
        <v>120</v>
      </c>
      <c r="DC8" s="175">
        <f t="shared" si="22"/>
        <v>28</v>
      </c>
      <c r="DD8" s="286">
        <f t="shared" si="22"/>
        <v>7285.78</v>
      </c>
    </row>
    <row r="9" s="114" customFormat="1" ht="10" customHeight="1" spans="1:108">
      <c r="A9" s="161" t="s">
        <v>83</v>
      </c>
      <c r="B9" s="162">
        <v>0.5</v>
      </c>
      <c r="C9" s="163">
        <v>4469170</v>
      </c>
      <c r="D9" s="164">
        <f>ROUND(C9/C$7,4)</f>
        <v>0.1451</v>
      </c>
      <c r="E9" s="165">
        <f>D9*B9</f>
        <v>0.07255</v>
      </c>
      <c r="F9" s="166">
        <f>ROUND(E9/SUM(E$9:E$28,E$30:E$64),4)</f>
        <v>0.0909</v>
      </c>
      <c r="G9" s="167">
        <f>ROUND(204.97*F9,2)+0.02</f>
        <v>18.65</v>
      </c>
      <c r="H9" s="168">
        <v>12631</v>
      </c>
      <c r="I9" s="190">
        <v>152860</v>
      </c>
      <c r="J9" s="191">
        <f>ROUND((H9*0.028+I9*0.001)/(H$7*0.028+I$7*0.001),4)-0.0001</f>
        <v>0.1883</v>
      </c>
      <c r="K9" s="166">
        <f>J9*B9</f>
        <v>0.09415</v>
      </c>
      <c r="L9" s="192">
        <f>ROUND(K9/SUM(K$9:K$28,K$30:K$64),4)</f>
        <v>0.1223</v>
      </c>
      <c r="M9" s="193">
        <f>ROUND(2738.86*L9,2)+0.5</f>
        <v>335.46</v>
      </c>
      <c r="N9" s="163"/>
      <c r="O9" s="163"/>
      <c r="P9" s="163"/>
      <c r="Q9" s="163"/>
      <c r="R9" s="166">
        <f t="shared" ref="R9:R28" si="23">ROUND((N9*4.1+O9*50+P9*10+Q9*0.02)/1411.4,4)</f>
        <v>0</v>
      </c>
      <c r="S9" s="166">
        <f>R9*B9</f>
        <v>0</v>
      </c>
      <c r="T9" s="166">
        <f>S9/SUM(S$9:S$28,S$30:S$64)</f>
        <v>0</v>
      </c>
      <c r="U9" s="193">
        <f t="shared" ref="U9:U28" si="24">ROUND(701.4*T9,2)</f>
        <v>0</v>
      </c>
      <c r="V9" s="193"/>
      <c r="W9" s="193">
        <f>U9+V9</f>
        <v>0</v>
      </c>
      <c r="X9" s="168">
        <v>12056</v>
      </c>
      <c r="Y9" s="203">
        <v>13470</v>
      </c>
      <c r="Z9" s="203">
        <v>12</v>
      </c>
      <c r="AA9" s="203">
        <v>1</v>
      </c>
      <c r="AB9" s="191">
        <f>ROUND((X9*0.27+Y9*0.55+Z9*0.09+AA9*0.09)/(X$7*0.27+Y$7*0.55+Z$7*0.09+AA$7*0.09),4)-0.0033</f>
        <v>0.1034</v>
      </c>
      <c r="AC9" s="204">
        <f t="shared" ref="AC9:AC28" si="25">B9*AB9</f>
        <v>0.0517</v>
      </c>
      <c r="AD9" s="166">
        <f>ROUND(AC9/SUM(AC$9:AC$28,AC$30:AC$64),4)+0.0006</f>
        <v>0.0639</v>
      </c>
      <c r="AE9" s="193">
        <f>ROUND(1329.42*AD9,2)+0.11</f>
        <v>85.06</v>
      </c>
      <c r="AF9" s="163">
        <v>330</v>
      </c>
      <c r="AG9" s="163">
        <v>2740</v>
      </c>
      <c r="AH9" s="214">
        <v>11</v>
      </c>
      <c r="AI9" s="215">
        <v>2</v>
      </c>
      <c r="AJ9" s="215">
        <v>1</v>
      </c>
      <c r="AK9" s="215">
        <v>3</v>
      </c>
      <c r="AL9" s="165">
        <f>(AF9*0.01+AG9*0.0029+AH9*0.1+AI9*2+AJ9*5+AK9*2)/203.7</f>
        <v>0.134246440844379</v>
      </c>
      <c r="AM9" s="165">
        <f>AL9*B9</f>
        <v>0.0671232204221895</v>
      </c>
      <c r="AN9" s="165">
        <f>ROUND(AM9/SUM(AM$9:AM$28,AM$30:AM$64),4)</f>
        <v>0.0848</v>
      </c>
      <c r="AO9" s="225">
        <f>+ROUND(203.7*AN9,2)</f>
        <v>17.27</v>
      </c>
      <c r="AP9" s="215"/>
      <c r="AQ9" s="215"/>
      <c r="AR9" s="225">
        <f>AQ9*95.5</f>
        <v>0</v>
      </c>
      <c r="AS9" s="167">
        <f>AO9+AR9</f>
        <v>17.27</v>
      </c>
      <c r="AT9" s="176">
        <v>0</v>
      </c>
      <c r="AU9" s="176">
        <v>1250</v>
      </c>
      <c r="AV9" s="176">
        <v>0</v>
      </c>
      <c r="AW9" s="176">
        <v>160</v>
      </c>
      <c r="AX9" s="176">
        <v>1</v>
      </c>
      <c r="AY9" s="176">
        <v>2</v>
      </c>
      <c r="AZ9" s="176">
        <v>0</v>
      </c>
      <c r="BA9" s="176">
        <v>1</v>
      </c>
      <c r="BB9" s="176">
        <v>0</v>
      </c>
      <c r="BC9" s="176">
        <v>0</v>
      </c>
      <c r="BD9" s="228">
        <f>ROUND(3.2/300.49,4)-0.0002</f>
        <v>0.0104</v>
      </c>
      <c r="BE9" s="164">
        <f>BD9*B9</f>
        <v>0.0052</v>
      </c>
      <c r="BF9" s="164">
        <f>ROUND(BE9/SUM(BE$9:BE$28,BE$30:BE$64),4)-0.0001</f>
        <v>0.0054</v>
      </c>
      <c r="BG9" s="167">
        <f>ROUND(188.45*BF9,2)</f>
        <v>1.02</v>
      </c>
      <c r="BH9" s="232"/>
      <c r="BI9" s="233">
        <v>7249</v>
      </c>
      <c r="BJ9" s="164">
        <f>(BH9*0.0364*12+BI9*0.0016)/(BH$7*0.0364*12+BI$7*0.0016)</f>
        <v>0.0253947234746175</v>
      </c>
      <c r="BK9" s="164">
        <f>BJ9*B9</f>
        <v>0.0126973617373088</v>
      </c>
      <c r="BL9" s="164">
        <f>BK9/SUM(BK$9:BK$28,BK$30:BK$64)</f>
        <v>0.0131593278921839</v>
      </c>
      <c r="BM9" s="167">
        <f>ROUND(193.8*BL9,2)</f>
        <v>2.55</v>
      </c>
      <c r="BN9" s="245"/>
      <c r="BO9" s="245"/>
      <c r="BP9" s="245"/>
      <c r="BQ9" s="245"/>
      <c r="BR9" s="245"/>
      <c r="BS9" s="245"/>
      <c r="BT9" s="164">
        <f>(BN9*0.00089+BO9*0.025+BP9*0.08*2+BQ9*1.5+BR9*20+BS9*50)/1289.41</f>
        <v>0</v>
      </c>
      <c r="BU9" s="164">
        <f>BT9*B9</f>
        <v>0</v>
      </c>
      <c r="BV9" s="164">
        <f>ROUND(BU9/SUM(BU$9:BU$28,BU$30:BU$64),4)</f>
        <v>0</v>
      </c>
      <c r="BW9" s="167">
        <f>ROUND(BV9*1309.5,2)+40</f>
        <v>40</v>
      </c>
      <c r="BX9" s="215">
        <v>3</v>
      </c>
      <c r="BY9" s="215">
        <v>3</v>
      </c>
      <c r="BZ9" s="215">
        <v>6</v>
      </c>
      <c r="CA9" s="215"/>
      <c r="CB9" s="215"/>
      <c r="CC9" s="215"/>
      <c r="CD9" s="215"/>
      <c r="CE9" s="215"/>
      <c r="CF9" s="165"/>
      <c r="CG9" s="167"/>
      <c r="CH9" s="176"/>
      <c r="CI9" s="190"/>
      <c r="CJ9" s="166"/>
      <c r="CK9" s="166"/>
      <c r="CL9" s="166"/>
      <c r="CM9" s="193">
        <f>ROUND(125*CL9,2)</f>
        <v>0</v>
      </c>
      <c r="CN9" s="261">
        <v>4000</v>
      </c>
      <c r="CO9" s="193">
        <v>20</v>
      </c>
      <c r="CP9" s="193">
        <f>CG9+CM9+CO9+80</f>
        <v>100</v>
      </c>
      <c r="CQ9" s="262">
        <v>11</v>
      </c>
      <c r="CR9" s="262">
        <v>1</v>
      </c>
      <c r="CS9" s="271">
        <v>11</v>
      </c>
      <c r="CT9" s="176">
        <v>216</v>
      </c>
      <c r="CU9" s="166">
        <f t="shared" ref="CU9:CU28" si="26">CQ9/124*0.04+CR9/5*0.04+CS9/124*0.04+CT9/4591*0.88</f>
        <v>0.0564995186936573</v>
      </c>
      <c r="CV9" s="166">
        <f t="shared" ref="CV9:CV28" si="27">CU9*B9</f>
        <v>0.0282497593468286</v>
      </c>
      <c r="CW9" s="164">
        <f>ROUND(CV9/SUM(CV$9:CV$28,CV$30:CV$64),4)-0.0001</f>
        <v>0.0306</v>
      </c>
      <c r="CX9" s="272">
        <f>ROUND(759.15*CW9,2)</f>
        <v>23.23</v>
      </c>
      <c r="CY9" s="273">
        <v>1</v>
      </c>
      <c r="CZ9" s="274">
        <f>CY9/CY8</f>
        <v>0.166666666666667</v>
      </c>
      <c r="DA9" s="272">
        <v>3</v>
      </c>
      <c r="DB9" s="287"/>
      <c r="DC9" s="225"/>
      <c r="DD9" s="288">
        <f>G9+M9+W9+AE9+AS9+BG9+BM9+BW9+CP9+CX9+DB9+DC9+DA9</f>
        <v>626.24</v>
      </c>
    </row>
    <row r="10" s="114" customFormat="1" ht="10" customHeight="1" spans="1:108">
      <c r="A10" s="161" t="s">
        <v>84</v>
      </c>
      <c r="B10" s="169">
        <v>0.5</v>
      </c>
      <c r="C10" s="163">
        <v>613682</v>
      </c>
      <c r="D10" s="164">
        <f t="shared" ref="D10:D28" si="28">ROUND(C10/C$7,4)</f>
        <v>0.0199</v>
      </c>
      <c r="E10" s="165">
        <f t="shared" ref="E10:E28" si="29">D10*B10</f>
        <v>0.00995</v>
      </c>
      <c r="F10" s="166">
        <f t="shared" ref="F10:F28" si="30">E10/SUM(E$9:E$28,E$30:E$64)</f>
        <v>0.0124663283843889</v>
      </c>
      <c r="G10" s="167">
        <f t="shared" ref="G10:G28" si="31">ROUND(204.97*F10,2)</f>
        <v>2.56</v>
      </c>
      <c r="H10" s="168">
        <v>1384</v>
      </c>
      <c r="I10" s="190">
        <v>14382</v>
      </c>
      <c r="J10" s="191">
        <f>ROUND((H10*0.028+I10*0.001)/(H$7*0.028+I$7*0.001),4)</f>
        <v>0.0198</v>
      </c>
      <c r="K10" s="166">
        <f t="shared" ref="K10:K28" si="32">J10*B10</f>
        <v>0.0099</v>
      </c>
      <c r="L10" s="192">
        <f t="shared" ref="L10:L28" si="33">ROUND(K10/SUM(K$9:K$28,K$30:K$64),4)</f>
        <v>0.0129</v>
      </c>
      <c r="M10" s="193">
        <f t="shared" ref="M10:M28" si="34">ROUND(2738.86*L10,2)</f>
        <v>35.33</v>
      </c>
      <c r="N10" s="163"/>
      <c r="O10" s="163"/>
      <c r="P10" s="163"/>
      <c r="Q10" s="163"/>
      <c r="R10" s="166">
        <f t="shared" si="23"/>
        <v>0</v>
      </c>
      <c r="S10" s="166">
        <f t="shared" ref="S10:S28" si="35">R10*B10</f>
        <v>0</v>
      </c>
      <c r="T10" s="166">
        <f t="shared" ref="T9:T28" si="36">S10/SUM(S$9:S$28,S$30:S$64)</f>
        <v>0</v>
      </c>
      <c r="U10" s="193">
        <f t="shared" si="24"/>
        <v>0</v>
      </c>
      <c r="V10" s="193"/>
      <c r="W10" s="193">
        <f t="shared" ref="W10:W28" si="37">U10+V10</f>
        <v>0</v>
      </c>
      <c r="X10" s="168">
        <v>3634</v>
      </c>
      <c r="Y10" s="203">
        <v>7670</v>
      </c>
      <c r="Z10" s="203">
        <v>7</v>
      </c>
      <c r="AA10" s="203">
        <v>1</v>
      </c>
      <c r="AB10" s="191">
        <f t="shared" ref="AB10:AB28" si="38">ROUND((X10*0.27+Y10*0.55+Z10*0.09+AA10*0.09)/(X$7*0.27+Y$7*0.55+Z$7*0.09+AA$7*0.09),4)</f>
        <v>0.052</v>
      </c>
      <c r="AC10" s="204">
        <f t="shared" si="25"/>
        <v>0.026</v>
      </c>
      <c r="AD10" s="166">
        <f t="shared" ref="AD10:AD28" si="39">ROUND(AC10/SUM(AC$9:AC$28,AC$30:AC$64),4)</f>
        <v>0.0319</v>
      </c>
      <c r="AE10" s="193">
        <f t="shared" ref="AE10:AE28" si="40">ROUND(1329.42*AD10,2)</f>
        <v>42.41</v>
      </c>
      <c r="AF10" s="163">
        <v>90</v>
      </c>
      <c r="AG10" s="163">
        <v>810</v>
      </c>
      <c r="AH10" s="214">
        <v>3</v>
      </c>
      <c r="AI10" s="215">
        <v>2</v>
      </c>
      <c r="AJ10" s="215"/>
      <c r="AK10" s="215"/>
      <c r="AL10" s="165">
        <f t="shared" ref="AL10:AL28" si="41">(AF10*0.01+AG10*0.0029+AH10*0.1+AI10*2+AJ10*5+AK10*2)/203.7</f>
        <v>0.0370594010800196</v>
      </c>
      <c r="AM10" s="165">
        <f t="shared" ref="AM10:AM28" si="42">AL10*B10</f>
        <v>0.0185297005400098</v>
      </c>
      <c r="AN10" s="165">
        <f t="shared" ref="AN10:AN28" si="43">ROUND(AM10/SUM(AM$9:AM$28,AM$30:AM$64),4)</f>
        <v>0.0234</v>
      </c>
      <c r="AO10" s="225">
        <f t="shared" ref="AO10:AO28" si="44">+ROUND(203.7*AN10,2)</f>
        <v>4.77</v>
      </c>
      <c r="AP10" s="215"/>
      <c r="AQ10" s="215"/>
      <c r="AR10" s="225">
        <f t="shared" ref="AR10:AR28" si="45">AQ10*95.5</f>
        <v>0</v>
      </c>
      <c r="AS10" s="167">
        <f t="shared" ref="AS10:AS28" si="46">AO10+AR10</f>
        <v>4.77</v>
      </c>
      <c r="AT10" s="176">
        <v>0</v>
      </c>
      <c r="AU10" s="176">
        <v>219</v>
      </c>
      <c r="AV10" s="176">
        <v>250</v>
      </c>
      <c r="AW10" s="176">
        <v>80</v>
      </c>
      <c r="AX10" s="176">
        <v>1</v>
      </c>
      <c r="AY10" s="176">
        <v>1</v>
      </c>
      <c r="AZ10" s="176">
        <v>1</v>
      </c>
      <c r="BA10" s="176">
        <v>0</v>
      </c>
      <c r="BB10" s="176">
        <v>1</v>
      </c>
      <c r="BC10" s="176" t="s">
        <v>291</v>
      </c>
      <c r="BD10" s="228">
        <f>ROUND(4.6/300.49,4)-0.0002</f>
        <v>0.0151</v>
      </c>
      <c r="BE10" s="164">
        <f t="shared" ref="BE10:BE28" si="47">BD10*B10</f>
        <v>0.00755</v>
      </c>
      <c r="BF10" s="164">
        <f>ROUND(BE10/SUM(BE$9:BE$28,BE$30:BE$64),4)</f>
        <v>0.008</v>
      </c>
      <c r="BG10" s="167">
        <f t="shared" ref="BG10:BG28" si="48">ROUND(188.45*BF10,2)</f>
        <v>1.51</v>
      </c>
      <c r="BH10" s="232"/>
      <c r="BI10" s="233">
        <v>883</v>
      </c>
      <c r="BJ10" s="164">
        <f t="shared" ref="BJ10:BJ28" si="49">(BH10*0.0364*12+BI10*0.0016)/(BH$7*0.0364*12+BI$7*0.0016)</f>
        <v>0.00309332884923262</v>
      </c>
      <c r="BK10" s="164">
        <f t="shared" ref="BK10:BK28" si="50">BJ10*B10</f>
        <v>0.00154666442461631</v>
      </c>
      <c r="BL10" s="164">
        <f t="shared" ref="BL10:BL28" si="51">BK10/SUM(BK$9:BK$28,BK$30:BK$64)</f>
        <v>0.00160293647796915</v>
      </c>
      <c r="BM10" s="167">
        <f t="shared" ref="BM10:BM28" si="52">ROUND(193.8*BL10,2)</f>
        <v>0.31</v>
      </c>
      <c r="BN10" s="245"/>
      <c r="BO10" s="245"/>
      <c r="BP10" s="245"/>
      <c r="BQ10" s="245"/>
      <c r="BR10" s="245"/>
      <c r="BS10" s="245"/>
      <c r="BT10" s="164">
        <f t="shared" ref="BT10:BT28" si="53">(BN10*0.00089+BO10*0.025+BP10*0.08*2+BQ10*1.5+BR10*20+BS10*50)/1289.41</f>
        <v>0</v>
      </c>
      <c r="BU10" s="164">
        <f t="shared" ref="BU10:BU28" si="54">BT10*B10</f>
        <v>0</v>
      </c>
      <c r="BV10" s="164">
        <f t="shared" ref="BV10:BV28" si="55">ROUND(BU10/SUM(BU$9:BU$28,BU$30:BU$64),4)</f>
        <v>0</v>
      </c>
      <c r="BW10" s="167">
        <f t="shared" ref="BW10:BW28" si="56">ROUND(BV10*1309.5,2)</f>
        <v>0</v>
      </c>
      <c r="BX10" s="215">
        <v>5</v>
      </c>
      <c r="BY10" s="215">
        <v>2</v>
      </c>
      <c r="BZ10" s="215">
        <v>6</v>
      </c>
      <c r="CA10" s="215">
        <v>1</v>
      </c>
      <c r="CB10" s="215"/>
      <c r="CC10" s="215"/>
      <c r="CD10" s="215"/>
      <c r="CE10" s="215"/>
      <c r="CF10" s="165"/>
      <c r="CG10" s="167"/>
      <c r="CH10" s="190"/>
      <c r="CI10" s="190"/>
      <c r="CJ10" s="166"/>
      <c r="CK10" s="166"/>
      <c r="CL10" s="166"/>
      <c r="CM10" s="193">
        <f t="shared" ref="CM10:CM28" si="57">ROUND(125*CL10,2)</f>
        <v>0</v>
      </c>
      <c r="CN10" s="261">
        <v>1000</v>
      </c>
      <c r="CO10" s="193">
        <v>5</v>
      </c>
      <c r="CP10" s="193">
        <f>CG10+CM10+CO10</f>
        <v>5</v>
      </c>
      <c r="CQ10" s="262">
        <v>3</v>
      </c>
      <c r="CR10" s="262"/>
      <c r="CS10" s="271">
        <v>3</v>
      </c>
      <c r="CT10" s="176">
        <v>79</v>
      </c>
      <c r="CU10" s="166">
        <f t="shared" si="26"/>
        <v>0.0170781543131372</v>
      </c>
      <c r="CV10" s="166">
        <f t="shared" si="27"/>
        <v>0.0085390771565686</v>
      </c>
      <c r="CW10" s="164">
        <f t="shared" ref="CW10:CW28" si="58">ROUND(CV10/SUM(CV$9:CV$28,CV$30:CV$64),4)</f>
        <v>0.0093</v>
      </c>
      <c r="CX10" s="272">
        <f t="shared" ref="CX10:CX28" si="59">ROUND(759.15*CW10,2)</f>
        <v>7.06</v>
      </c>
      <c r="CY10" s="273">
        <v>1</v>
      </c>
      <c r="CZ10" s="274">
        <f>CY10/CY8</f>
        <v>0.166666666666667</v>
      </c>
      <c r="DA10" s="272">
        <v>3</v>
      </c>
      <c r="DB10" s="287"/>
      <c r="DC10" s="225"/>
      <c r="DD10" s="288">
        <f t="shared" ref="DD10:DD28" si="60">G10+M10+W10+AE10+AS10+BG10+BM10+BW10+CP10+CX10+DB10+DC10+DA10</f>
        <v>101.95</v>
      </c>
    </row>
    <row r="11" s="114" customFormat="1" ht="10" customHeight="1" spans="1:108">
      <c r="A11" s="161" t="s">
        <v>85</v>
      </c>
      <c r="B11" s="169">
        <v>1</v>
      </c>
      <c r="C11" s="163">
        <v>1688537</v>
      </c>
      <c r="D11" s="164">
        <f t="shared" si="28"/>
        <v>0.0548</v>
      </c>
      <c r="E11" s="165">
        <f t="shared" si="29"/>
        <v>0.0548</v>
      </c>
      <c r="F11" s="166">
        <f t="shared" si="30"/>
        <v>0.0686587734135188</v>
      </c>
      <c r="G11" s="167">
        <f t="shared" si="31"/>
        <v>14.07</v>
      </c>
      <c r="H11" s="168">
        <v>1765</v>
      </c>
      <c r="I11" s="190">
        <v>55084</v>
      </c>
      <c r="J11" s="191">
        <f t="shared" ref="J11:J28" si="61">ROUND((H11*0.028+I11*0.001)/(H$7*0.028+I$7*0.001),4)</f>
        <v>0.0389</v>
      </c>
      <c r="K11" s="166">
        <f t="shared" si="32"/>
        <v>0.0389</v>
      </c>
      <c r="L11" s="192">
        <f t="shared" si="33"/>
        <v>0.0505</v>
      </c>
      <c r="M11" s="193">
        <f t="shared" si="34"/>
        <v>138.31</v>
      </c>
      <c r="N11" s="163">
        <v>103</v>
      </c>
      <c r="O11" s="163"/>
      <c r="P11" s="163"/>
      <c r="Q11" s="163">
        <v>1366</v>
      </c>
      <c r="R11" s="166">
        <f t="shared" si="23"/>
        <v>0.3186</v>
      </c>
      <c r="S11" s="166">
        <f t="shared" si="35"/>
        <v>0.3186</v>
      </c>
      <c r="T11" s="166">
        <f t="shared" si="36"/>
        <v>0.338396176314392</v>
      </c>
      <c r="U11" s="193">
        <f>ROUND(701.4*T11,2)+0.03</f>
        <v>237.38</v>
      </c>
      <c r="V11" s="193"/>
      <c r="W11" s="193">
        <f t="shared" si="37"/>
        <v>237.38</v>
      </c>
      <c r="X11" s="168">
        <v>4255</v>
      </c>
      <c r="Y11" s="203">
        <v>5595</v>
      </c>
      <c r="Z11" s="203">
        <v>7</v>
      </c>
      <c r="AA11" s="203">
        <v>1</v>
      </c>
      <c r="AB11" s="191">
        <f t="shared" si="38"/>
        <v>0.0423</v>
      </c>
      <c r="AC11" s="204">
        <f t="shared" si="25"/>
        <v>0.0423</v>
      </c>
      <c r="AD11" s="166">
        <f t="shared" si="39"/>
        <v>0.0518</v>
      </c>
      <c r="AE11" s="193">
        <f t="shared" si="40"/>
        <v>68.86</v>
      </c>
      <c r="AF11" s="163">
        <v>210</v>
      </c>
      <c r="AG11" s="163">
        <v>319</v>
      </c>
      <c r="AH11" s="214">
        <v>6</v>
      </c>
      <c r="AI11" s="215"/>
      <c r="AJ11" s="215"/>
      <c r="AK11" s="215"/>
      <c r="AL11" s="165">
        <f t="shared" si="41"/>
        <v>0.0177962690230731</v>
      </c>
      <c r="AM11" s="165">
        <f t="shared" si="42"/>
        <v>0.0177962690230731</v>
      </c>
      <c r="AN11" s="165">
        <f t="shared" si="43"/>
        <v>0.0225</v>
      </c>
      <c r="AO11" s="225">
        <f t="shared" si="44"/>
        <v>4.58</v>
      </c>
      <c r="AP11" s="215"/>
      <c r="AQ11" s="215"/>
      <c r="AR11" s="225">
        <f t="shared" si="45"/>
        <v>0</v>
      </c>
      <c r="AS11" s="167">
        <f t="shared" si="46"/>
        <v>4.58</v>
      </c>
      <c r="AT11" s="176">
        <v>3</v>
      </c>
      <c r="AU11" s="176">
        <v>149</v>
      </c>
      <c r="AV11" s="176">
        <v>250</v>
      </c>
      <c r="AW11" s="176">
        <v>50</v>
      </c>
      <c r="AX11" s="176">
        <v>1</v>
      </c>
      <c r="AY11" s="176">
        <v>1</v>
      </c>
      <c r="AZ11" s="176">
        <v>0</v>
      </c>
      <c r="BA11" s="176">
        <v>1</v>
      </c>
      <c r="BB11" s="176">
        <v>0</v>
      </c>
      <c r="BC11" s="176">
        <v>0</v>
      </c>
      <c r="BD11" s="228">
        <f>ROUND(12.95/300.49,4)</f>
        <v>0.0431</v>
      </c>
      <c r="BE11" s="164">
        <f t="shared" si="47"/>
        <v>0.0431</v>
      </c>
      <c r="BF11" s="164">
        <f t="shared" ref="BF10:BF28" si="62">ROUND(BE11/SUM(BE$9:BE$28,BE$30:BE$64),4)</f>
        <v>0.0457</v>
      </c>
      <c r="BG11" s="167">
        <f t="shared" si="48"/>
        <v>8.61</v>
      </c>
      <c r="BH11" s="232">
        <v>14</v>
      </c>
      <c r="BI11" s="233">
        <v>2773</v>
      </c>
      <c r="BJ11" s="164">
        <f t="shared" si="49"/>
        <v>0.0231036282680511</v>
      </c>
      <c r="BK11" s="164">
        <f t="shared" si="50"/>
        <v>0.0231036282680511</v>
      </c>
      <c r="BL11" s="164">
        <f t="shared" si="51"/>
        <v>0.0239442040140579</v>
      </c>
      <c r="BM11" s="167">
        <f t="shared" si="52"/>
        <v>4.64</v>
      </c>
      <c r="BN11" s="245">
        <v>28568</v>
      </c>
      <c r="BO11" s="245">
        <v>408</v>
      </c>
      <c r="BP11" s="245">
        <v>118</v>
      </c>
      <c r="BQ11" s="245">
        <v>0</v>
      </c>
      <c r="BR11" s="245">
        <v>1</v>
      </c>
      <c r="BS11" s="245"/>
      <c r="BT11" s="164">
        <f t="shared" si="53"/>
        <v>0.0577826447755175</v>
      </c>
      <c r="BU11" s="164">
        <f t="shared" si="54"/>
        <v>0.0577826447755175</v>
      </c>
      <c r="BV11" s="164">
        <f t="shared" si="55"/>
        <v>0.0588</v>
      </c>
      <c r="BW11" s="167">
        <f t="shared" si="56"/>
        <v>77</v>
      </c>
      <c r="BX11" s="215">
        <v>1</v>
      </c>
      <c r="BY11" s="215"/>
      <c r="BZ11" s="215">
        <v>6</v>
      </c>
      <c r="CA11" s="215"/>
      <c r="CB11" s="215"/>
      <c r="CC11" s="215"/>
      <c r="CD11" s="215">
        <f>ROUND((BX11*15+BY11*1+BZ11*1+CA11*8+CB11*20)/580,4)</f>
        <v>0.0362</v>
      </c>
      <c r="CE11" s="215">
        <f>CD11*B11</f>
        <v>0.0362</v>
      </c>
      <c r="CF11" s="165">
        <f>ROUND(CE11/SUM(CE$9:CE$28,CE$30:CE$64),4)</f>
        <v>0.0366</v>
      </c>
      <c r="CG11" s="167">
        <f>ROUND(580*CF11,2)</f>
        <v>21.23</v>
      </c>
      <c r="CH11" s="190">
        <v>4000</v>
      </c>
      <c r="CI11" s="190"/>
      <c r="CJ11" s="166">
        <f t="shared" ref="CJ11:CJ28" si="63">ROUND((CH11*0.0035+CI11*0.003)/148,4)</f>
        <v>0.0946</v>
      </c>
      <c r="CK11" s="166">
        <f t="shared" ref="CK10:CK28" si="64">CJ11*B11</f>
        <v>0.0946</v>
      </c>
      <c r="CL11" s="166">
        <f t="shared" ref="CL9:CL28" si="65">CK11/SUM(CK$9:CK$28,CK$30:CK$64)</f>
        <v>0.0987113267595346</v>
      </c>
      <c r="CM11" s="193">
        <f t="shared" si="57"/>
        <v>12.34</v>
      </c>
      <c r="CN11" s="261"/>
      <c r="CO11" s="193"/>
      <c r="CP11" s="193">
        <f t="shared" ref="CP11:CP28" si="66">CG11+CM11+CO11</f>
        <v>33.57</v>
      </c>
      <c r="CQ11" s="262">
        <v>6</v>
      </c>
      <c r="CR11" s="262"/>
      <c r="CS11" s="262">
        <v>6</v>
      </c>
      <c r="CT11" s="176">
        <v>147</v>
      </c>
      <c r="CU11" s="166">
        <f t="shared" si="26"/>
        <v>0.0320478355267318</v>
      </c>
      <c r="CV11" s="166">
        <f t="shared" si="27"/>
        <v>0.0320478355267318</v>
      </c>
      <c r="CW11" s="164">
        <f t="shared" si="58"/>
        <v>0.0348</v>
      </c>
      <c r="CX11" s="272">
        <f t="shared" si="59"/>
        <v>26.42</v>
      </c>
      <c r="CY11" s="273"/>
      <c r="CZ11" s="274"/>
      <c r="DA11" s="272"/>
      <c r="DB11" s="193"/>
      <c r="DC11" s="225"/>
      <c r="DD11" s="288">
        <f t="shared" si="60"/>
        <v>613.44</v>
      </c>
    </row>
    <row r="12" s="114" customFormat="1" ht="10" customHeight="1" spans="1:108">
      <c r="A12" s="161" t="s">
        <v>86</v>
      </c>
      <c r="B12" s="169">
        <v>0.5</v>
      </c>
      <c r="C12" s="163">
        <v>2445687</v>
      </c>
      <c r="D12" s="164">
        <f t="shared" si="28"/>
        <v>0.0794</v>
      </c>
      <c r="E12" s="165">
        <f t="shared" si="29"/>
        <v>0.0397</v>
      </c>
      <c r="F12" s="166">
        <f t="shared" si="30"/>
        <v>0.0497400238050492</v>
      </c>
      <c r="G12" s="167">
        <f t="shared" si="31"/>
        <v>10.2</v>
      </c>
      <c r="H12" s="168">
        <v>4916</v>
      </c>
      <c r="I12" s="190">
        <v>65852</v>
      </c>
      <c r="J12" s="191">
        <f t="shared" si="61"/>
        <v>0.0757</v>
      </c>
      <c r="K12" s="166">
        <f t="shared" si="32"/>
        <v>0.03785</v>
      </c>
      <c r="L12" s="192">
        <f t="shared" si="33"/>
        <v>0.0492</v>
      </c>
      <c r="M12" s="193">
        <f t="shared" si="34"/>
        <v>134.75</v>
      </c>
      <c r="N12" s="163"/>
      <c r="O12" s="163"/>
      <c r="P12" s="163"/>
      <c r="Q12" s="163"/>
      <c r="R12" s="166">
        <f t="shared" si="23"/>
        <v>0</v>
      </c>
      <c r="S12" s="166">
        <f t="shared" si="35"/>
        <v>0</v>
      </c>
      <c r="T12" s="166">
        <f t="shared" si="36"/>
        <v>0</v>
      </c>
      <c r="U12" s="193">
        <f t="shared" si="24"/>
        <v>0</v>
      </c>
      <c r="V12" s="193"/>
      <c r="W12" s="193">
        <f t="shared" si="37"/>
        <v>0</v>
      </c>
      <c r="X12" s="168">
        <v>8542</v>
      </c>
      <c r="Y12" s="203">
        <v>9110</v>
      </c>
      <c r="Z12" s="203">
        <v>6</v>
      </c>
      <c r="AA12" s="203">
        <v>1</v>
      </c>
      <c r="AB12" s="191">
        <f t="shared" si="38"/>
        <v>0.0732</v>
      </c>
      <c r="AC12" s="204">
        <f t="shared" si="25"/>
        <v>0.0366</v>
      </c>
      <c r="AD12" s="166">
        <f t="shared" si="39"/>
        <v>0.0448</v>
      </c>
      <c r="AE12" s="193">
        <f t="shared" si="40"/>
        <v>59.56</v>
      </c>
      <c r="AF12" s="163">
        <v>150</v>
      </c>
      <c r="AG12" s="163">
        <v>1087</v>
      </c>
      <c r="AH12" s="214">
        <v>5</v>
      </c>
      <c r="AI12" s="215">
        <v>2</v>
      </c>
      <c r="AJ12" s="215"/>
      <c r="AK12" s="215">
        <v>5</v>
      </c>
      <c r="AL12" s="165">
        <f t="shared" si="41"/>
        <v>0.0940220913107511</v>
      </c>
      <c r="AM12" s="165">
        <f t="shared" si="42"/>
        <v>0.0470110456553756</v>
      </c>
      <c r="AN12" s="165">
        <f t="shared" si="43"/>
        <v>0.0594</v>
      </c>
      <c r="AO12" s="225">
        <f t="shared" si="44"/>
        <v>12.1</v>
      </c>
      <c r="AP12" s="215"/>
      <c r="AQ12" s="215"/>
      <c r="AR12" s="225">
        <f t="shared" si="45"/>
        <v>0</v>
      </c>
      <c r="AS12" s="167">
        <f t="shared" si="46"/>
        <v>12.1</v>
      </c>
      <c r="AT12" s="176">
        <v>0</v>
      </c>
      <c r="AU12" s="176">
        <v>587</v>
      </c>
      <c r="AV12" s="176">
        <v>500</v>
      </c>
      <c r="AW12" s="176">
        <v>50</v>
      </c>
      <c r="AX12" s="176">
        <v>1</v>
      </c>
      <c r="AY12" s="176">
        <v>1</v>
      </c>
      <c r="AZ12" s="176">
        <v>1</v>
      </c>
      <c r="BA12" s="176">
        <v>0</v>
      </c>
      <c r="BB12" s="176">
        <v>0</v>
      </c>
      <c r="BC12" s="176" t="s">
        <v>291</v>
      </c>
      <c r="BD12" s="228">
        <f>ROUND(1/300.49,4)-0.0001</f>
        <v>0.0032</v>
      </c>
      <c r="BE12" s="164">
        <f t="shared" si="47"/>
        <v>0.0016</v>
      </c>
      <c r="BF12" s="164">
        <f t="shared" si="62"/>
        <v>0.0017</v>
      </c>
      <c r="BG12" s="167">
        <f t="shared" si="48"/>
        <v>0.32</v>
      </c>
      <c r="BH12" s="232"/>
      <c r="BI12" s="233">
        <v>3828</v>
      </c>
      <c r="BJ12" s="164">
        <f t="shared" si="49"/>
        <v>0.013410263686141</v>
      </c>
      <c r="BK12" s="164">
        <f t="shared" si="50"/>
        <v>0.00670513184307049</v>
      </c>
      <c r="BL12" s="164">
        <f t="shared" si="51"/>
        <v>0.00694908362136571</v>
      </c>
      <c r="BM12" s="167">
        <f t="shared" si="52"/>
        <v>1.35</v>
      </c>
      <c r="BN12" s="234"/>
      <c r="BO12" s="234"/>
      <c r="BP12" s="234"/>
      <c r="BQ12" s="234"/>
      <c r="BR12" s="234"/>
      <c r="BS12" s="234"/>
      <c r="BT12" s="164">
        <f t="shared" si="53"/>
        <v>0</v>
      </c>
      <c r="BU12" s="164">
        <f t="shared" si="54"/>
        <v>0</v>
      </c>
      <c r="BV12" s="164">
        <f t="shared" si="55"/>
        <v>0</v>
      </c>
      <c r="BW12" s="167">
        <f t="shared" si="56"/>
        <v>0</v>
      </c>
      <c r="BX12" s="215">
        <v>5</v>
      </c>
      <c r="BY12" s="215">
        <v>2</v>
      </c>
      <c r="BZ12" s="215">
        <v>6</v>
      </c>
      <c r="CA12" s="215"/>
      <c r="CB12" s="215"/>
      <c r="CC12" s="215"/>
      <c r="CD12" s="215"/>
      <c r="CE12" s="215"/>
      <c r="CF12" s="165"/>
      <c r="CG12" s="167"/>
      <c r="CH12" s="190"/>
      <c r="CI12" s="190"/>
      <c r="CJ12" s="166">
        <f t="shared" si="63"/>
        <v>0</v>
      </c>
      <c r="CK12" s="166"/>
      <c r="CL12" s="166"/>
      <c r="CM12" s="193">
        <f t="shared" si="57"/>
        <v>0</v>
      </c>
      <c r="CN12" s="261"/>
      <c r="CO12" s="193"/>
      <c r="CP12" s="193">
        <f t="shared" si="66"/>
        <v>0</v>
      </c>
      <c r="CQ12" s="262">
        <v>5</v>
      </c>
      <c r="CR12" s="262">
        <v>1</v>
      </c>
      <c r="CS12" s="271">
        <v>5</v>
      </c>
      <c r="CT12" s="176">
        <v>114</v>
      </c>
      <c r="CU12" s="166">
        <f t="shared" si="26"/>
        <v>0.0330772549377815</v>
      </c>
      <c r="CV12" s="166">
        <f t="shared" si="27"/>
        <v>0.0165386274688907</v>
      </c>
      <c r="CW12" s="164">
        <f t="shared" si="58"/>
        <v>0.018</v>
      </c>
      <c r="CX12" s="272">
        <f t="shared" si="59"/>
        <v>13.66</v>
      </c>
      <c r="CY12" s="273">
        <v>1</v>
      </c>
      <c r="CZ12" s="274">
        <f>CY12/CY8</f>
        <v>0.166666666666667</v>
      </c>
      <c r="DA12" s="272">
        <v>3</v>
      </c>
      <c r="DB12" s="193"/>
      <c r="DC12" s="272">
        <v>3</v>
      </c>
      <c r="DD12" s="288">
        <f t="shared" si="60"/>
        <v>237.94</v>
      </c>
    </row>
    <row r="13" s="114" customFormat="1" ht="10" customHeight="1" spans="1:108">
      <c r="A13" s="161" t="s">
        <v>87</v>
      </c>
      <c r="B13" s="169">
        <v>1</v>
      </c>
      <c r="C13" s="163">
        <v>474573</v>
      </c>
      <c r="D13" s="164">
        <f t="shared" si="28"/>
        <v>0.0154</v>
      </c>
      <c r="E13" s="165">
        <f t="shared" si="29"/>
        <v>0.0154</v>
      </c>
      <c r="F13" s="166">
        <f t="shared" si="30"/>
        <v>0.0192946188059888</v>
      </c>
      <c r="G13" s="167">
        <f t="shared" si="31"/>
        <v>3.95</v>
      </c>
      <c r="H13" s="168">
        <v>977</v>
      </c>
      <c r="I13" s="190">
        <v>26920</v>
      </c>
      <c r="J13" s="191">
        <f t="shared" si="61"/>
        <v>0.0202</v>
      </c>
      <c r="K13" s="166">
        <f t="shared" si="32"/>
        <v>0.0202</v>
      </c>
      <c r="L13" s="192">
        <f t="shared" si="33"/>
        <v>0.0262</v>
      </c>
      <c r="M13" s="193">
        <f t="shared" si="34"/>
        <v>71.76</v>
      </c>
      <c r="N13" s="163">
        <v>11</v>
      </c>
      <c r="O13" s="163"/>
      <c r="P13" s="163"/>
      <c r="Q13" s="163">
        <v>490</v>
      </c>
      <c r="R13" s="166">
        <f t="shared" si="23"/>
        <v>0.0389</v>
      </c>
      <c r="S13" s="166">
        <f t="shared" si="35"/>
        <v>0.0389</v>
      </c>
      <c r="T13" s="166">
        <f t="shared" si="36"/>
        <v>0.0413170472650027</v>
      </c>
      <c r="U13" s="193">
        <f t="shared" si="24"/>
        <v>28.98</v>
      </c>
      <c r="V13" s="193"/>
      <c r="W13" s="193">
        <f t="shared" si="37"/>
        <v>28.98</v>
      </c>
      <c r="X13" s="168">
        <v>4250</v>
      </c>
      <c r="Y13" s="203">
        <v>6010</v>
      </c>
      <c r="Z13" s="203">
        <v>5</v>
      </c>
      <c r="AA13" s="203">
        <v>1</v>
      </c>
      <c r="AB13" s="191">
        <f t="shared" si="38"/>
        <v>0.0446</v>
      </c>
      <c r="AC13" s="204">
        <f t="shared" si="25"/>
        <v>0.0446</v>
      </c>
      <c r="AD13" s="166">
        <f t="shared" si="39"/>
        <v>0.0546</v>
      </c>
      <c r="AE13" s="193">
        <f t="shared" si="40"/>
        <v>72.59</v>
      </c>
      <c r="AF13" s="163">
        <v>300</v>
      </c>
      <c r="AG13" s="163">
        <v>787</v>
      </c>
      <c r="AH13" s="214">
        <v>6</v>
      </c>
      <c r="AI13" s="215"/>
      <c r="AJ13" s="215"/>
      <c r="AK13" s="215"/>
      <c r="AL13" s="165">
        <f t="shared" si="41"/>
        <v>0.0288772704958272</v>
      </c>
      <c r="AM13" s="165">
        <f t="shared" si="42"/>
        <v>0.0288772704958272</v>
      </c>
      <c r="AN13" s="165">
        <f t="shared" si="43"/>
        <v>0.0365</v>
      </c>
      <c r="AO13" s="225">
        <f t="shared" si="44"/>
        <v>7.44</v>
      </c>
      <c r="AP13" s="215">
        <v>9</v>
      </c>
      <c r="AQ13" s="215">
        <f>ROUND((AP13*5.026)/95.5,4)</f>
        <v>0.4737</v>
      </c>
      <c r="AR13" s="225">
        <f>ROUND(AQ13*95.5,2)</f>
        <v>45.24</v>
      </c>
      <c r="AS13" s="167">
        <f t="shared" si="46"/>
        <v>52.68</v>
      </c>
      <c r="AT13" s="176">
        <v>4</v>
      </c>
      <c r="AU13" s="176">
        <v>175</v>
      </c>
      <c r="AV13" s="176">
        <v>250</v>
      </c>
      <c r="AW13" s="176">
        <v>100</v>
      </c>
      <c r="AX13" s="176">
        <v>1</v>
      </c>
      <c r="AY13" s="176">
        <v>2</v>
      </c>
      <c r="AZ13" s="176">
        <v>0</v>
      </c>
      <c r="BA13" s="176">
        <v>1</v>
      </c>
      <c r="BB13" s="176">
        <v>0</v>
      </c>
      <c r="BC13" s="176">
        <v>0</v>
      </c>
      <c r="BD13" s="228">
        <f>ROUND(16.53/300.49,4)</f>
        <v>0.055</v>
      </c>
      <c r="BE13" s="164">
        <f t="shared" si="47"/>
        <v>0.055</v>
      </c>
      <c r="BF13" s="164">
        <f t="shared" si="62"/>
        <v>0.0583</v>
      </c>
      <c r="BG13" s="167">
        <f t="shared" si="48"/>
        <v>10.99</v>
      </c>
      <c r="BH13" s="232">
        <v>13</v>
      </c>
      <c r="BI13" s="233">
        <v>949</v>
      </c>
      <c r="BJ13" s="164">
        <f t="shared" si="49"/>
        <v>0.0157574101515836</v>
      </c>
      <c r="BK13" s="164">
        <f t="shared" si="50"/>
        <v>0.0157574101515836</v>
      </c>
      <c r="BL13" s="164">
        <f t="shared" si="51"/>
        <v>0.0163307095762293</v>
      </c>
      <c r="BM13" s="167">
        <f t="shared" si="52"/>
        <v>3.16</v>
      </c>
      <c r="BN13" s="245">
        <v>10731</v>
      </c>
      <c r="BO13" s="245">
        <v>440</v>
      </c>
      <c r="BP13" s="245">
        <v>140</v>
      </c>
      <c r="BQ13" s="245">
        <v>0</v>
      </c>
      <c r="BR13" s="245">
        <v>1</v>
      </c>
      <c r="BS13" s="245"/>
      <c r="BT13" s="164">
        <f t="shared" si="53"/>
        <v>0.0488212360692099</v>
      </c>
      <c r="BU13" s="164">
        <f t="shared" si="54"/>
        <v>0.0488212360692099</v>
      </c>
      <c r="BV13" s="164">
        <f t="shared" si="55"/>
        <v>0.0497</v>
      </c>
      <c r="BW13" s="167">
        <f t="shared" si="56"/>
        <v>65.08</v>
      </c>
      <c r="BX13" s="215">
        <v>2</v>
      </c>
      <c r="BY13" s="215">
        <v>2</v>
      </c>
      <c r="BZ13" s="215">
        <v>6</v>
      </c>
      <c r="CA13" s="215">
        <v>1</v>
      </c>
      <c r="CB13" s="215"/>
      <c r="CC13" s="215">
        <v>1</v>
      </c>
      <c r="CD13" s="215">
        <f>ROUND((BX13*15+(BY13-1)*1+1*5+BZ13*1+CA13*8+CB13*20)/580,4)</f>
        <v>0.0862</v>
      </c>
      <c r="CE13" s="215">
        <f>CD13*B13</f>
        <v>0.0862</v>
      </c>
      <c r="CF13" s="165">
        <f>ROUND(CE13/SUM(CE$9:CE$28,CE$30:CE$64),4)</f>
        <v>0.0871</v>
      </c>
      <c r="CG13" s="167">
        <f t="shared" ref="CG12:CG28" si="67">ROUND(580*CF13,2)</f>
        <v>50.52</v>
      </c>
      <c r="CH13" s="190">
        <v>2000</v>
      </c>
      <c r="CI13" s="190">
        <v>5000</v>
      </c>
      <c r="CJ13" s="166">
        <f t="shared" si="63"/>
        <v>0.1486</v>
      </c>
      <c r="CK13" s="166">
        <f t="shared" si="64"/>
        <v>0.1486</v>
      </c>
      <c r="CL13" s="166">
        <f t="shared" si="65"/>
        <v>0.155058172901341</v>
      </c>
      <c r="CM13" s="193">
        <f t="shared" si="57"/>
        <v>19.38</v>
      </c>
      <c r="CN13" s="261"/>
      <c r="CO13" s="193"/>
      <c r="CP13" s="193">
        <f t="shared" si="66"/>
        <v>69.9</v>
      </c>
      <c r="CQ13" s="262">
        <v>6</v>
      </c>
      <c r="CR13" s="262"/>
      <c r="CS13" s="262">
        <v>6</v>
      </c>
      <c r="CT13" s="176">
        <v>216</v>
      </c>
      <c r="CU13" s="166">
        <f t="shared" si="26"/>
        <v>0.0452737122420444</v>
      </c>
      <c r="CV13" s="166">
        <f t="shared" si="27"/>
        <v>0.0452737122420444</v>
      </c>
      <c r="CW13" s="164">
        <f t="shared" si="58"/>
        <v>0.0492</v>
      </c>
      <c r="CX13" s="272">
        <f t="shared" si="59"/>
        <v>37.35</v>
      </c>
      <c r="CY13" s="273"/>
      <c r="CZ13" s="274"/>
      <c r="DA13" s="272"/>
      <c r="DB13" s="193"/>
      <c r="DC13" s="225"/>
      <c r="DD13" s="288">
        <f t="shared" si="60"/>
        <v>416.44</v>
      </c>
    </row>
    <row r="14" s="114" customFormat="1" ht="10" customHeight="1" spans="1:108">
      <c r="A14" s="161" t="s">
        <v>88</v>
      </c>
      <c r="B14" s="169">
        <v>1</v>
      </c>
      <c r="C14" s="163">
        <v>448951</v>
      </c>
      <c r="D14" s="164">
        <f t="shared" si="28"/>
        <v>0.0146</v>
      </c>
      <c r="E14" s="165">
        <f t="shared" si="29"/>
        <v>0.0146</v>
      </c>
      <c r="F14" s="166">
        <f t="shared" si="30"/>
        <v>0.0182923009459375</v>
      </c>
      <c r="G14" s="167">
        <f t="shared" si="31"/>
        <v>3.75</v>
      </c>
      <c r="H14" s="168">
        <v>707</v>
      </c>
      <c r="I14" s="190">
        <v>17178</v>
      </c>
      <c r="J14" s="191">
        <f t="shared" si="61"/>
        <v>0.0138</v>
      </c>
      <c r="K14" s="166">
        <f t="shared" si="32"/>
        <v>0.0138</v>
      </c>
      <c r="L14" s="192">
        <f t="shared" si="33"/>
        <v>0.0179</v>
      </c>
      <c r="M14" s="193">
        <f t="shared" si="34"/>
        <v>49.03</v>
      </c>
      <c r="N14" s="163">
        <v>8</v>
      </c>
      <c r="O14" s="163"/>
      <c r="P14" s="163"/>
      <c r="Q14" s="163">
        <v>145</v>
      </c>
      <c r="R14" s="166">
        <f t="shared" si="23"/>
        <v>0.0253</v>
      </c>
      <c r="S14" s="166">
        <f t="shared" si="35"/>
        <v>0.0253</v>
      </c>
      <c r="T14" s="166">
        <f t="shared" si="36"/>
        <v>0.0268720127456187</v>
      </c>
      <c r="U14" s="193">
        <f t="shared" si="24"/>
        <v>18.85</v>
      </c>
      <c r="V14" s="193"/>
      <c r="W14" s="193">
        <f t="shared" si="37"/>
        <v>18.85</v>
      </c>
      <c r="X14" s="168">
        <v>5519</v>
      </c>
      <c r="Y14" s="203">
        <v>7980</v>
      </c>
      <c r="Z14" s="203">
        <v>3</v>
      </c>
      <c r="AA14" s="203">
        <v>1</v>
      </c>
      <c r="AB14" s="191">
        <f t="shared" si="38"/>
        <v>0.0588</v>
      </c>
      <c r="AC14" s="204">
        <f t="shared" si="25"/>
        <v>0.0588</v>
      </c>
      <c r="AD14" s="166">
        <f t="shared" si="39"/>
        <v>0.072</v>
      </c>
      <c r="AE14" s="193">
        <f t="shared" si="40"/>
        <v>95.72</v>
      </c>
      <c r="AF14" s="163">
        <v>180</v>
      </c>
      <c r="AG14" s="163">
        <v>1316</v>
      </c>
      <c r="AH14" s="214">
        <v>3</v>
      </c>
      <c r="AI14" s="215"/>
      <c r="AJ14" s="215"/>
      <c r="AK14" s="215"/>
      <c r="AL14" s="165">
        <f t="shared" si="41"/>
        <v>0.0290446735395189</v>
      </c>
      <c r="AM14" s="165">
        <f t="shared" si="42"/>
        <v>0.0290446735395189</v>
      </c>
      <c r="AN14" s="165">
        <f>ROUND(AM14/SUM(AM$9:AM$28,AM$30:AM$64),4)+0.0001</f>
        <v>0.0368</v>
      </c>
      <c r="AO14" s="225">
        <f t="shared" si="44"/>
        <v>7.5</v>
      </c>
      <c r="AP14" s="215"/>
      <c r="AQ14" s="215"/>
      <c r="AR14" s="225">
        <f t="shared" si="45"/>
        <v>0</v>
      </c>
      <c r="AS14" s="167">
        <f t="shared" si="46"/>
        <v>7.5</v>
      </c>
      <c r="AT14" s="176">
        <v>2</v>
      </c>
      <c r="AU14" s="176">
        <v>159</v>
      </c>
      <c r="AV14" s="176">
        <v>0</v>
      </c>
      <c r="AW14" s="176">
        <v>100</v>
      </c>
      <c r="AX14" s="176">
        <v>1</v>
      </c>
      <c r="AY14" s="176">
        <v>1</v>
      </c>
      <c r="AZ14" s="176">
        <v>0</v>
      </c>
      <c r="BA14" s="176">
        <v>1</v>
      </c>
      <c r="BB14" s="176">
        <v>0</v>
      </c>
      <c r="BC14" s="176">
        <v>0</v>
      </c>
      <c r="BD14" s="228">
        <f>ROUND(9.48/300.49,4)</f>
        <v>0.0315</v>
      </c>
      <c r="BE14" s="164">
        <f t="shared" si="47"/>
        <v>0.0315</v>
      </c>
      <c r="BF14" s="164">
        <f t="shared" si="62"/>
        <v>0.0334</v>
      </c>
      <c r="BG14" s="167">
        <f t="shared" si="48"/>
        <v>6.29</v>
      </c>
      <c r="BH14" s="232">
        <v>1</v>
      </c>
      <c r="BI14" s="233">
        <v>667</v>
      </c>
      <c r="BJ14" s="164">
        <f t="shared" si="49"/>
        <v>0.00329301145897924</v>
      </c>
      <c r="BK14" s="164">
        <f t="shared" si="50"/>
        <v>0.00329301145897924</v>
      </c>
      <c r="BL14" s="164">
        <f t="shared" si="51"/>
        <v>0.00341282058729559</v>
      </c>
      <c r="BM14" s="167">
        <f t="shared" si="52"/>
        <v>0.66</v>
      </c>
      <c r="BN14" s="245">
        <v>8554</v>
      </c>
      <c r="BO14" s="245">
        <v>320</v>
      </c>
      <c r="BP14" s="245">
        <v>74</v>
      </c>
      <c r="BQ14" s="245">
        <v>0</v>
      </c>
      <c r="BR14" s="245">
        <v>1</v>
      </c>
      <c r="BS14" s="245"/>
      <c r="BT14" s="164">
        <f t="shared" si="53"/>
        <v>0.0368021498204605</v>
      </c>
      <c r="BU14" s="164">
        <f t="shared" si="54"/>
        <v>0.0368021498204605</v>
      </c>
      <c r="BV14" s="164">
        <f t="shared" si="55"/>
        <v>0.0374</v>
      </c>
      <c r="BW14" s="167">
        <f t="shared" si="56"/>
        <v>48.98</v>
      </c>
      <c r="BX14" s="215">
        <v>0</v>
      </c>
      <c r="BY14" s="215">
        <v>2</v>
      </c>
      <c r="BZ14" s="215">
        <v>6</v>
      </c>
      <c r="CA14" s="215"/>
      <c r="CB14" s="215"/>
      <c r="CC14" s="215">
        <v>1</v>
      </c>
      <c r="CD14" s="215">
        <f t="shared" ref="CD13:CD15" si="68">ROUND((BX14*15+(BY14-1)*1+1*5+BZ14*1+CA14*8+CB14*20)/580,4)</f>
        <v>0.0207</v>
      </c>
      <c r="CE14" s="215">
        <f t="shared" ref="CE12:CE28" si="69">CD14*B14</f>
        <v>0.0207</v>
      </c>
      <c r="CF14" s="165">
        <f>ROUND(CE14/SUM(CE$9:CE$28,CE$30:CE$64),4)</f>
        <v>0.0209</v>
      </c>
      <c r="CG14" s="167">
        <f t="shared" si="67"/>
        <v>12.12</v>
      </c>
      <c r="CH14" s="190">
        <v>2000</v>
      </c>
      <c r="CI14" s="190"/>
      <c r="CJ14" s="166">
        <f t="shared" si="63"/>
        <v>0.0473</v>
      </c>
      <c r="CK14" s="166">
        <f t="shared" si="64"/>
        <v>0.0473</v>
      </c>
      <c r="CL14" s="166">
        <f t="shared" si="65"/>
        <v>0.0493556633797673</v>
      </c>
      <c r="CM14" s="193">
        <f t="shared" si="57"/>
        <v>6.17</v>
      </c>
      <c r="CN14" s="261"/>
      <c r="CO14" s="193"/>
      <c r="CP14" s="193">
        <f t="shared" si="66"/>
        <v>18.29</v>
      </c>
      <c r="CQ14" s="262">
        <v>3</v>
      </c>
      <c r="CR14" s="262"/>
      <c r="CS14" s="262">
        <v>3</v>
      </c>
      <c r="CT14" s="176">
        <v>149</v>
      </c>
      <c r="CU14" s="166">
        <f t="shared" si="26"/>
        <v>0.0304957104011355</v>
      </c>
      <c r="CV14" s="166">
        <f t="shared" si="27"/>
        <v>0.0304957104011355</v>
      </c>
      <c r="CW14" s="164">
        <f t="shared" si="58"/>
        <v>0.0331</v>
      </c>
      <c r="CX14" s="272">
        <f t="shared" si="59"/>
        <v>25.13</v>
      </c>
      <c r="CY14" s="273"/>
      <c r="CZ14" s="274"/>
      <c r="DA14" s="272"/>
      <c r="DB14" s="193">
        <v>15</v>
      </c>
      <c r="DC14" s="225"/>
      <c r="DD14" s="288">
        <f t="shared" si="60"/>
        <v>289.2</v>
      </c>
    </row>
    <row r="15" s="114" customFormat="1" ht="10" customHeight="1" spans="1:108">
      <c r="A15" s="161" t="s">
        <v>89</v>
      </c>
      <c r="B15" s="169">
        <v>1</v>
      </c>
      <c r="C15" s="163">
        <v>358230</v>
      </c>
      <c r="D15" s="164">
        <f t="shared" si="28"/>
        <v>0.0116</v>
      </c>
      <c r="E15" s="165">
        <f t="shared" si="29"/>
        <v>0.0116</v>
      </c>
      <c r="F15" s="166">
        <f t="shared" si="30"/>
        <v>0.0145336089707448</v>
      </c>
      <c r="G15" s="167">
        <f t="shared" si="31"/>
        <v>2.98</v>
      </c>
      <c r="H15" s="168">
        <v>198</v>
      </c>
      <c r="I15" s="190">
        <v>22244</v>
      </c>
      <c r="J15" s="191">
        <f t="shared" si="61"/>
        <v>0.0103</v>
      </c>
      <c r="K15" s="166">
        <f t="shared" si="32"/>
        <v>0.0103</v>
      </c>
      <c r="L15" s="192">
        <f t="shared" si="33"/>
        <v>0.0134</v>
      </c>
      <c r="M15" s="193">
        <f t="shared" si="34"/>
        <v>36.7</v>
      </c>
      <c r="N15" s="163">
        <v>36</v>
      </c>
      <c r="O15" s="163"/>
      <c r="P15" s="163"/>
      <c r="Q15" s="163">
        <v>231</v>
      </c>
      <c r="R15" s="166">
        <f t="shared" si="23"/>
        <v>0.1079</v>
      </c>
      <c r="S15" s="166">
        <f t="shared" si="35"/>
        <v>0.1079</v>
      </c>
      <c r="T15" s="166">
        <f t="shared" si="36"/>
        <v>0.114604354753054</v>
      </c>
      <c r="U15" s="193">
        <f t="shared" si="24"/>
        <v>80.38</v>
      </c>
      <c r="V15" s="193">
        <v>100</v>
      </c>
      <c r="W15" s="193">
        <f t="shared" si="37"/>
        <v>180.38</v>
      </c>
      <c r="X15" s="168">
        <v>4408</v>
      </c>
      <c r="Y15" s="203">
        <v>4460</v>
      </c>
      <c r="Z15" s="203">
        <v>5</v>
      </c>
      <c r="AA15" s="203">
        <v>1</v>
      </c>
      <c r="AB15" s="191">
        <f t="shared" si="38"/>
        <v>0.0365</v>
      </c>
      <c r="AC15" s="204">
        <f t="shared" si="25"/>
        <v>0.0365</v>
      </c>
      <c r="AD15" s="166">
        <f t="shared" si="39"/>
        <v>0.0447</v>
      </c>
      <c r="AE15" s="193">
        <f t="shared" si="40"/>
        <v>59.43</v>
      </c>
      <c r="AF15" s="163">
        <v>240</v>
      </c>
      <c r="AG15" s="163">
        <v>1966</v>
      </c>
      <c r="AH15" s="214">
        <v>4</v>
      </c>
      <c r="AI15" s="215"/>
      <c r="AJ15" s="215"/>
      <c r="AK15" s="215"/>
      <c r="AL15" s="165">
        <f t="shared" si="41"/>
        <v>0.0417349042709868</v>
      </c>
      <c r="AM15" s="165">
        <f t="shared" si="42"/>
        <v>0.0417349042709868</v>
      </c>
      <c r="AN15" s="165">
        <f>ROUND(AM15/SUM(AM$9:AM$28,AM$30:AM$64),4)+0.0001</f>
        <v>0.0528</v>
      </c>
      <c r="AO15" s="225">
        <f>+ROUND(203.7*AN15,2)+0.01</f>
        <v>10.77</v>
      </c>
      <c r="AP15" s="215"/>
      <c r="AQ15" s="215"/>
      <c r="AR15" s="225">
        <f t="shared" si="45"/>
        <v>0</v>
      </c>
      <c r="AS15" s="167">
        <f t="shared" si="46"/>
        <v>10.77</v>
      </c>
      <c r="AT15" s="176">
        <v>4</v>
      </c>
      <c r="AU15" s="176">
        <v>150</v>
      </c>
      <c r="AV15" s="176">
        <v>0</v>
      </c>
      <c r="AW15" s="176">
        <v>50</v>
      </c>
      <c r="AX15" s="176">
        <v>1</v>
      </c>
      <c r="AY15" s="176">
        <v>2</v>
      </c>
      <c r="AZ15" s="176">
        <v>0</v>
      </c>
      <c r="BA15" s="176">
        <v>1</v>
      </c>
      <c r="BB15" s="176">
        <v>0</v>
      </c>
      <c r="BC15" s="176">
        <v>0</v>
      </c>
      <c r="BD15" s="228">
        <f>ROUND(17.95/300.49,4)</f>
        <v>0.0597</v>
      </c>
      <c r="BE15" s="164">
        <f t="shared" si="47"/>
        <v>0.0597</v>
      </c>
      <c r="BF15" s="164">
        <f t="shared" si="62"/>
        <v>0.0633</v>
      </c>
      <c r="BG15" s="167">
        <f t="shared" si="48"/>
        <v>11.93</v>
      </c>
      <c r="BH15" s="232">
        <v>12</v>
      </c>
      <c r="BI15" s="233">
        <v>716</v>
      </c>
      <c r="BJ15" s="164">
        <f t="shared" si="49"/>
        <v>0.0139847890896225</v>
      </c>
      <c r="BK15" s="164">
        <f t="shared" si="50"/>
        <v>0.0139847890896225</v>
      </c>
      <c r="BL15" s="164">
        <f t="shared" si="51"/>
        <v>0.0144935955154085</v>
      </c>
      <c r="BM15" s="167">
        <f t="shared" si="52"/>
        <v>2.81</v>
      </c>
      <c r="BN15" s="245">
        <v>8364</v>
      </c>
      <c r="BO15" s="245">
        <v>312</v>
      </c>
      <c r="BP15" s="245">
        <v>72</v>
      </c>
      <c r="BQ15" s="245">
        <v>20</v>
      </c>
      <c r="BR15" s="245">
        <v>1</v>
      </c>
      <c r="BS15" s="245"/>
      <c r="BT15" s="164">
        <f t="shared" si="53"/>
        <v>0.0595341745449469</v>
      </c>
      <c r="BU15" s="164">
        <f t="shared" si="54"/>
        <v>0.0595341745449469</v>
      </c>
      <c r="BV15" s="164">
        <f t="shared" si="55"/>
        <v>0.0605</v>
      </c>
      <c r="BW15" s="167">
        <f t="shared" si="56"/>
        <v>79.22</v>
      </c>
      <c r="BX15" s="215">
        <v>2</v>
      </c>
      <c r="BY15" s="215">
        <v>2</v>
      </c>
      <c r="BZ15" s="215">
        <v>6</v>
      </c>
      <c r="CA15" s="215"/>
      <c r="CB15" s="215"/>
      <c r="CC15" s="215">
        <v>1</v>
      </c>
      <c r="CD15" s="215">
        <f t="shared" si="68"/>
        <v>0.0724</v>
      </c>
      <c r="CE15" s="215">
        <f t="shared" si="69"/>
        <v>0.0724</v>
      </c>
      <c r="CF15" s="165">
        <f t="shared" ref="CF15:CF20" si="70">ROUND(CE15/SUM(CE$9:CE$28,CE$30:CE$64),4)</f>
        <v>0.0732</v>
      </c>
      <c r="CG15" s="167">
        <f t="shared" si="67"/>
        <v>42.46</v>
      </c>
      <c r="CH15" s="190">
        <v>2000</v>
      </c>
      <c r="CI15" s="190"/>
      <c r="CJ15" s="166">
        <f t="shared" si="63"/>
        <v>0.0473</v>
      </c>
      <c r="CK15" s="166">
        <f t="shared" si="64"/>
        <v>0.0473</v>
      </c>
      <c r="CL15" s="166">
        <f t="shared" si="65"/>
        <v>0.0493556633797673</v>
      </c>
      <c r="CM15" s="193">
        <f t="shared" si="57"/>
        <v>6.17</v>
      </c>
      <c r="CN15" s="261"/>
      <c r="CO15" s="193"/>
      <c r="CP15" s="193">
        <f t="shared" si="66"/>
        <v>48.63</v>
      </c>
      <c r="CQ15" s="262">
        <v>4</v>
      </c>
      <c r="CR15" s="262"/>
      <c r="CS15" s="262">
        <v>4</v>
      </c>
      <c r="CT15" s="176">
        <v>162</v>
      </c>
      <c r="CU15" s="166">
        <f t="shared" si="26"/>
        <v>0.033632703536372</v>
      </c>
      <c r="CV15" s="166">
        <f t="shared" si="27"/>
        <v>0.033632703536372</v>
      </c>
      <c r="CW15" s="164">
        <f t="shared" si="58"/>
        <v>0.0365</v>
      </c>
      <c r="CX15" s="272">
        <f t="shared" si="59"/>
        <v>27.71</v>
      </c>
      <c r="CY15" s="273"/>
      <c r="CZ15" s="274"/>
      <c r="DA15" s="272"/>
      <c r="DB15" s="193"/>
      <c r="DC15" s="225"/>
      <c r="DD15" s="288">
        <f t="shared" si="60"/>
        <v>460.56</v>
      </c>
    </row>
    <row r="16" s="114" customFormat="1" ht="10" customHeight="1" spans="1:108">
      <c r="A16" s="161" t="s">
        <v>90</v>
      </c>
      <c r="B16" s="169">
        <v>1</v>
      </c>
      <c r="C16" s="163">
        <v>1489458</v>
      </c>
      <c r="D16" s="164">
        <f t="shared" si="28"/>
        <v>0.0484</v>
      </c>
      <c r="E16" s="165">
        <f t="shared" si="29"/>
        <v>0.0484</v>
      </c>
      <c r="F16" s="166">
        <f t="shared" si="30"/>
        <v>0.0606402305331078</v>
      </c>
      <c r="G16" s="167">
        <f t="shared" si="31"/>
        <v>12.43</v>
      </c>
      <c r="H16" s="168">
        <v>1637</v>
      </c>
      <c r="I16" s="190">
        <v>32206</v>
      </c>
      <c r="J16" s="191">
        <f t="shared" si="61"/>
        <v>0.029</v>
      </c>
      <c r="K16" s="166">
        <f t="shared" si="32"/>
        <v>0.029</v>
      </c>
      <c r="L16" s="192">
        <f t="shared" si="33"/>
        <v>0.0377</v>
      </c>
      <c r="M16" s="193">
        <f t="shared" si="34"/>
        <v>103.26</v>
      </c>
      <c r="N16" s="163">
        <v>21</v>
      </c>
      <c r="O16" s="163"/>
      <c r="P16" s="163"/>
      <c r="Q16" s="163">
        <v>294</v>
      </c>
      <c r="R16" s="166">
        <f t="shared" si="23"/>
        <v>0.0652</v>
      </c>
      <c r="S16" s="166">
        <f t="shared" si="35"/>
        <v>0.0652</v>
      </c>
      <c r="T16" s="166">
        <f t="shared" si="36"/>
        <v>0.0692511949017526</v>
      </c>
      <c r="U16" s="193">
        <f t="shared" si="24"/>
        <v>48.57</v>
      </c>
      <c r="V16" s="193"/>
      <c r="W16" s="193">
        <f t="shared" si="37"/>
        <v>48.57</v>
      </c>
      <c r="X16" s="168">
        <v>3893</v>
      </c>
      <c r="Y16" s="203">
        <v>6110</v>
      </c>
      <c r="Z16" s="203">
        <v>5</v>
      </c>
      <c r="AA16" s="203">
        <v>1</v>
      </c>
      <c r="AB16" s="191">
        <f t="shared" si="38"/>
        <v>0.0442</v>
      </c>
      <c r="AC16" s="204">
        <f t="shared" si="25"/>
        <v>0.0442</v>
      </c>
      <c r="AD16" s="166">
        <f t="shared" si="39"/>
        <v>0.0542</v>
      </c>
      <c r="AE16" s="193">
        <f t="shared" si="40"/>
        <v>72.05</v>
      </c>
      <c r="AF16" s="163">
        <v>150</v>
      </c>
      <c r="AG16" s="163">
        <v>1904</v>
      </c>
      <c r="AH16" s="214">
        <v>5</v>
      </c>
      <c r="AI16" s="215"/>
      <c r="AJ16" s="215"/>
      <c r="AK16" s="215"/>
      <c r="AL16" s="165">
        <f t="shared" si="41"/>
        <v>0.0369248895434462</v>
      </c>
      <c r="AM16" s="165">
        <f t="shared" si="42"/>
        <v>0.0369248895434462</v>
      </c>
      <c r="AN16" s="165">
        <f>ROUND(AM16/SUM(AM$9:AM$28,AM$30:AM$64),4)+0.0001</f>
        <v>0.0467</v>
      </c>
      <c r="AO16" s="225">
        <f>+ROUND(203.7*AN16,2)+0.01</f>
        <v>9.52</v>
      </c>
      <c r="AP16" s="215"/>
      <c r="AQ16" s="215"/>
      <c r="AR16" s="225">
        <f t="shared" si="45"/>
        <v>0</v>
      </c>
      <c r="AS16" s="167">
        <f t="shared" si="46"/>
        <v>9.52</v>
      </c>
      <c r="AT16" s="176">
        <v>0</v>
      </c>
      <c r="AU16" s="176">
        <v>251</v>
      </c>
      <c r="AV16" s="176">
        <v>0</v>
      </c>
      <c r="AW16" s="176">
        <v>50</v>
      </c>
      <c r="AX16" s="176">
        <v>1</v>
      </c>
      <c r="AY16" s="176">
        <v>2</v>
      </c>
      <c r="AZ16" s="176">
        <v>0</v>
      </c>
      <c r="BA16" s="176">
        <v>1</v>
      </c>
      <c r="BB16" s="176">
        <v>0</v>
      </c>
      <c r="BC16" s="176" t="s">
        <v>292</v>
      </c>
      <c r="BD16" s="228">
        <f>ROUND(3/300.49,4)</f>
        <v>0.01</v>
      </c>
      <c r="BE16" s="164">
        <f t="shared" si="47"/>
        <v>0.01</v>
      </c>
      <c r="BF16" s="164">
        <f t="shared" si="62"/>
        <v>0.0106</v>
      </c>
      <c r="BG16" s="167">
        <f t="shared" si="48"/>
        <v>2</v>
      </c>
      <c r="BH16" s="232">
        <v>29</v>
      </c>
      <c r="BI16" s="233">
        <v>1854</v>
      </c>
      <c r="BJ16" s="164">
        <f t="shared" si="49"/>
        <v>0.0342298031549852</v>
      </c>
      <c r="BK16" s="164">
        <f t="shared" si="50"/>
        <v>0.0342298031549852</v>
      </c>
      <c r="BL16" s="164">
        <f t="shared" si="51"/>
        <v>0.0354751808068779</v>
      </c>
      <c r="BM16" s="167">
        <f t="shared" si="52"/>
        <v>6.88</v>
      </c>
      <c r="BN16" s="245">
        <v>19318</v>
      </c>
      <c r="BO16" s="245">
        <v>488</v>
      </c>
      <c r="BP16" s="245">
        <v>158</v>
      </c>
      <c r="BQ16" s="245">
        <v>17</v>
      </c>
      <c r="BR16" s="245">
        <v>1</v>
      </c>
      <c r="BS16" s="245">
        <v>1</v>
      </c>
      <c r="BT16" s="164">
        <f t="shared" si="53"/>
        <v>0.116466461404829</v>
      </c>
      <c r="BU16" s="164">
        <f t="shared" si="54"/>
        <v>0.116466461404829</v>
      </c>
      <c r="BV16" s="164">
        <f t="shared" si="55"/>
        <v>0.1184</v>
      </c>
      <c r="BW16" s="167">
        <f t="shared" si="56"/>
        <v>155.04</v>
      </c>
      <c r="BX16" s="215">
        <v>1</v>
      </c>
      <c r="BY16" s="215"/>
      <c r="BZ16" s="215">
        <v>6</v>
      </c>
      <c r="CA16" s="215"/>
      <c r="CB16" s="215">
        <v>1</v>
      </c>
      <c r="CC16" s="215"/>
      <c r="CD16" s="215">
        <f t="shared" ref="CD16:CD21" si="71">ROUND((BX16*15+BY16*1+BZ16*1+CA16*8+CB16*20)/580,4)</f>
        <v>0.0707</v>
      </c>
      <c r="CE16" s="215">
        <f t="shared" si="69"/>
        <v>0.0707</v>
      </c>
      <c r="CF16" s="165">
        <f t="shared" si="70"/>
        <v>0.0714</v>
      </c>
      <c r="CG16" s="167">
        <f t="shared" si="67"/>
        <v>41.41</v>
      </c>
      <c r="CH16" s="190">
        <v>500</v>
      </c>
      <c r="CI16" s="190"/>
      <c r="CJ16" s="166">
        <f t="shared" si="63"/>
        <v>0.0118</v>
      </c>
      <c r="CK16" s="166">
        <f t="shared" si="64"/>
        <v>0.0118</v>
      </c>
      <c r="CL16" s="166">
        <f t="shared" si="65"/>
        <v>0.0123128293420984</v>
      </c>
      <c r="CM16" s="193">
        <f t="shared" si="57"/>
        <v>1.54</v>
      </c>
      <c r="CN16" s="261"/>
      <c r="CO16" s="193"/>
      <c r="CP16" s="193">
        <f t="shared" si="66"/>
        <v>42.95</v>
      </c>
      <c r="CQ16" s="262">
        <v>5</v>
      </c>
      <c r="CR16" s="262"/>
      <c r="CS16" s="262">
        <v>5</v>
      </c>
      <c r="CT16" s="176">
        <v>168</v>
      </c>
      <c r="CU16" s="166">
        <f t="shared" si="26"/>
        <v>0.0354279410628087</v>
      </c>
      <c r="CV16" s="166">
        <f t="shared" si="27"/>
        <v>0.0354279410628087</v>
      </c>
      <c r="CW16" s="164">
        <f t="shared" si="58"/>
        <v>0.0385</v>
      </c>
      <c r="CX16" s="272">
        <f t="shared" si="59"/>
        <v>29.23</v>
      </c>
      <c r="CY16" s="273"/>
      <c r="CZ16" s="274"/>
      <c r="DA16" s="272"/>
      <c r="DB16" s="193"/>
      <c r="DC16" s="225"/>
      <c r="DD16" s="288">
        <f t="shared" si="60"/>
        <v>481.93</v>
      </c>
    </row>
    <row r="17" s="114" customFormat="1" ht="10" customHeight="1" spans="1:108">
      <c r="A17" s="161" t="s">
        <v>91</v>
      </c>
      <c r="B17" s="169">
        <v>1</v>
      </c>
      <c r="C17" s="163">
        <v>134050</v>
      </c>
      <c r="D17" s="164">
        <f t="shared" si="28"/>
        <v>0.0044</v>
      </c>
      <c r="E17" s="165">
        <f t="shared" si="29"/>
        <v>0.0044</v>
      </c>
      <c r="F17" s="166">
        <f t="shared" si="30"/>
        <v>0.00551274823028253</v>
      </c>
      <c r="G17" s="167">
        <f t="shared" si="31"/>
        <v>1.13</v>
      </c>
      <c r="H17" s="168">
        <v>197</v>
      </c>
      <c r="I17" s="190">
        <v>6658</v>
      </c>
      <c r="J17" s="191">
        <f t="shared" si="61"/>
        <v>0.0045</v>
      </c>
      <c r="K17" s="166">
        <f t="shared" si="32"/>
        <v>0.0045</v>
      </c>
      <c r="L17" s="192">
        <f t="shared" si="33"/>
        <v>0.0058</v>
      </c>
      <c r="M17" s="193">
        <f t="shared" si="34"/>
        <v>15.89</v>
      </c>
      <c r="N17" s="163">
        <v>1</v>
      </c>
      <c r="O17" s="163"/>
      <c r="P17" s="163"/>
      <c r="Q17" s="163">
        <v>157</v>
      </c>
      <c r="R17" s="166">
        <f t="shared" si="23"/>
        <v>0.0051</v>
      </c>
      <c r="S17" s="166">
        <f t="shared" si="35"/>
        <v>0.0051</v>
      </c>
      <c r="T17" s="166">
        <f t="shared" si="36"/>
        <v>0.00541688794476899</v>
      </c>
      <c r="U17" s="193">
        <f t="shared" si="24"/>
        <v>3.8</v>
      </c>
      <c r="V17" s="193"/>
      <c r="W17" s="193">
        <f t="shared" si="37"/>
        <v>3.8</v>
      </c>
      <c r="X17" s="168">
        <v>3648</v>
      </c>
      <c r="Y17" s="203">
        <v>6210</v>
      </c>
      <c r="Z17" s="203">
        <v>1</v>
      </c>
      <c r="AA17" s="203">
        <v>1</v>
      </c>
      <c r="AB17" s="191">
        <f t="shared" si="38"/>
        <v>0.044</v>
      </c>
      <c r="AC17" s="204">
        <f t="shared" si="25"/>
        <v>0.044</v>
      </c>
      <c r="AD17" s="166">
        <f t="shared" si="39"/>
        <v>0.0539</v>
      </c>
      <c r="AE17" s="193">
        <f t="shared" si="40"/>
        <v>71.66</v>
      </c>
      <c r="AF17" s="163">
        <v>120</v>
      </c>
      <c r="AG17" s="163">
        <v>1551</v>
      </c>
      <c r="AH17" s="214">
        <v>1</v>
      </c>
      <c r="AI17" s="215"/>
      <c r="AJ17" s="215"/>
      <c r="AK17" s="215"/>
      <c r="AL17" s="165">
        <f t="shared" si="41"/>
        <v>0.0284629356897398</v>
      </c>
      <c r="AM17" s="165">
        <f t="shared" si="42"/>
        <v>0.0284629356897398</v>
      </c>
      <c r="AN17" s="165">
        <f>ROUND(AM17/SUM(AM$9:AM$28,AM$30:AM$64),4)+0.0001</f>
        <v>0.036</v>
      </c>
      <c r="AO17" s="225">
        <f>+ROUND(203.7*AN17,2)+0.01</f>
        <v>7.34</v>
      </c>
      <c r="AP17" s="215"/>
      <c r="AQ17" s="215"/>
      <c r="AR17" s="225">
        <f t="shared" si="45"/>
        <v>0</v>
      </c>
      <c r="AS17" s="167">
        <f t="shared" si="46"/>
        <v>7.34</v>
      </c>
      <c r="AT17" s="176">
        <v>1</v>
      </c>
      <c r="AU17" s="176">
        <v>60</v>
      </c>
      <c r="AV17" s="176">
        <v>0</v>
      </c>
      <c r="AW17" s="176">
        <v>0</v>
      </c>
      <c r="AX17" s="176">
        <v>1</v>
      </c>
      <c r="AY17" s="176">
        <v>1</v>
      </c>
      <c r="AZ17" s="176"/>
      <c r="BA17" s="176"/>
      <c r="BB17" s="176">
        <v>0</v>
      </c>
      <c r="BC17" s="176">
        <v>0</v>
      </c>
      <c r="BD17" s="228">
        <f>ROUND(3.18/300.49,4)</f>
        <v>0.0106</v>
      </c>
      <c r="BE17" s="164">
        <f t="shared" si="47"/>
        <v>0.0106</v>
      </c>
      <c r="BF17" s="164">
        <f t="shared" si="62"/>
        <v>0.0112</v>
      </c>
      <c r="BG17" s="167">
        <f t="shared" si="48"/>
        <v>2.11</v>
      </c>
      <c r="BH17" s="232"/>
      <c r="BI17" s="233">
        <v>250</v>
      </c>
      <c r="BJ17" s="164">
        <f t="shared" si="49"/>
        <v>0.000875800919941286</v>
      </c>
      <c r="BK17" s="164">
        <f t="shared" si="50"/>
        <v>0.000875800919941286</v>
      </c>
      <c r="BL17" s="164">
        <f t="shared" si="51"/>
        <v>0.000907665049812658</v>
      </c>
      <c r="BM17" s="167">
        <f t="shared" si="52"/>
        <v>0.18</v>
      </c>
      <c r="BN17" s="245">
        <v>2496</v>
      </c>
      <c r="BO17" s="245">
        <v>256</v>
      </c>
      <c r="BP17" s="245">
        <v>40</v>
      </c>
      <c r="BQ17" s="245">
        <v>0</v>
      </c>
      <c r="BR17" s="245">
        <v>1</v>
      </c>
      <c r="BS17" s="245"/>
      <c r="BT17" s="164">
        <f t="shared" si="53"/>
        <v>0.0271608254938305</v>
      </c>
      <c r="BU17" s="164">
        <f t="shared" si="54"/>
        <v>0.0271608254938305</v>
      </c>
      <c r="BV17" s="164">
        <f t="shared" si="55"/>
        <v>0.0276</v>
      </c>
      <c r="BW17" s="167">
        <f t="shared" si="56"/>
        <v>36.14</v>
      </c>
      <c r="BX17" s="215">
        <v>1</v>
      </c>
      <c r="BY17" s="215"/>
      <c r="BZ17" s="215">
        <v>6</v>
      </c>
      <c r="CA17" s="215"/>
      <c r="CB17" s="215"/>
      <c r="CC17" s="215"/>
      <c r="CD17" s="215">
        <f t="shared" si="71"/>
        <v>0.0362</v>
      </c>
      <c r="CE17" s="215">
        <f t="shared" si="69"/>
        <v>0.0362</v>
      </c>
      <c r="CF17" s="165">
        <f t="shared" si="70"/>
        <v>0.0366</v>
      </c>
      <c r="CG17" s="167">
        <f t="shared" si="67"/>
        <v>21.23</v>
      </c>
      <c r="CH17" s="190">
        <v>500</v>
      </c>
      <c r="CI17" s="190"/>
      <c r="CJ17" s="166">
        <f t="shared" si="63"/>
        <v>0.0118</v>
      </c>
      <c r="CK17" s="166">
        <f t="shared" si="64"/>
        <v>0.0118</v>
      </c>
      <c r="CL17" s="166">
        <f t="shared" si="65"/>
        <v>0.0123128293420984</v>
      </c>
      <c r="CM17" s="193">
        <f t="shared" si="57"/>
        <v>1.54</v>
      </c>
      <c r="CN17" s="261"/>
      <c r="CO17" s="193"/>
      <c r="CP17" s="193">
        <f t="shared" si="66"/>
        <v>22.77</v>
      </c>
      <c r="CQ17" s="262">
        <v>1</v>
      </c>
      <c r="CR17" s="262"/>
      <c r="CS17" s="262">
        <v>1</v>
      </c>
      <c r="CT17" s="176">
        <v>29</v>
      </c>
      <c r="CU17" s="166">
        <f t="shared" si="26"/>
        <v>0.00620386309820757</v>
      </c>
      <c r="CV17" s="166">
        <f t="shared" si="27"/>
        <v>0.00620386309820757</v>
      </c>
      <c r="CW17" s="164">
        <f t="shared" si="58"/>
        <v>0.0067</v>
      </c>
      <c r="CX17" s="272">
        <f t="shared" si="59"/>
        <v>5.09</v>
      </c>
      <c r="CY17" s="273"/>
      <c r="CZ17" s="274"/>
      <c r="DA17" s="272"/>
      <c r="DB17" s="193"/>
      <c r="DC17" s="225"/>
      <c r="DD17" s="288">
        <f t="shared" si="60"/>
        <v>166.11</v>
      </c>
    </row>
    <row r="18" s="114" customFormat="1" ht="10" customHeight="1" spans="1:108">
      <c r="A18" s="161" t="s">
        <v>92</v>
      </c>
      <c r="B18" s="170">
        <v>0.5</v>
      </c>
      <c r="C18" s="163">
        <v>2425717</v>
      </c>
      <c r="D18" s="164">
        <f t="shared" si="28"/>
        <v>0.0788</v>
      </c>
      <c r="E18" s="165">
        <f t="shared" si="29"/>
        <v>0.0394</v>
      </c>
      <c r="F18" s="166">
        <f t="shared" si="30"/>
        <v>0.0493641546075299</v>
      </c>
      <c r="G18" s="167">
        <f t="shared" si="31"/>
        <v>10.12</v>
      </c>
      <c r="H18" s="168">
        <v>6150</v>
      </c>
      <c r="I18" s="190">
        <v>45938</v>
      </c>
      <c r="J18" s="191">
        <f t="shared" si="61"/>
        <v>0.0811</v>
      </c>
      <c r="K18" s="166">
        <f t="shared" si="32"/>
        <v>0.04055</v>
      </c>
      <c r="L18" s="192">
        <f t="shared" si="33"/>
        <v>0.0527</v>
      </c>
      <c r="M18" s="193">
        <f t="shared" si="34"/>
        <v>144.34</v>
      </c>
      <c r="N18" s="163"/>
      <c r="O18" s="163"/>
      <c r="P18" s="163"/>
      <c r="Q18" s="163"/>
      <c r="R18" s="166">
        <f t="shared" si="23"/>
        <v>0</v>
      </c>
      <c r="S18" s="166">
        <f t="shared" si="35"/>
        <v>0</v>
      </c>
      <c r="T18" s="166">
        <f t="shared" si="36"/>
        <v>0</v>
      </c>
      <c r="U18" s="193">
        <f t="shared" si="24"/>
        <v>0</v>
      </c>
      <c r="V18" s="193"/>
      <c r="W18" s="193">
        <f t="shared" si="37"/>
        <v>0</v>
      </c>
      <c r="X18" s="168">
        <v>5376</v>
      </c>
      <c r="Y18" s="203">
        <v>5905</v>
      </c>
      <c r="Z18" s="203">
        <v>1</v>
      </c>
      <c r="AA18" s="203">
        <v>1</v>
      </c>
      <c r="AB18" s="191">
        <f t="shared" si="38"/>
        <v>0.047</v>
      </c>
      <c r="AC18" s="204">
        <f t="shared" si="25"/>
        <v>0.0235</v>
      </c>
      <c r="AD18" s="166">
        <f t="shared" si="39"/>
        <v>0.0288</v>
      </c>
      <c r="AE18" s="193">
        <f t="shared" si="40"/>
        <v>38.29</v>
      </c>
      <c r="AF18" s="163">
        <v>0</v>
      </c>
      <c r="AG18" s="163">
        <v>1289</v>
      </c>
      <c r="AH18" s="214">
        <v>1</v>
      </c>
      <c r="AI18" s="215">
        <v>2</v>
      </c>
      <c r="AJ18" s="215"/>
      <c r="AK18" s="215"/>
      <c r="AL18" s="165">
        <f t="shared" si="41"/>
        <v>0.0384786450662739</v>
      </c>
      <c r="AM18" s="165">
        <f t="shared" si="42"/>
        <v>0.019239322533137</v>
      </c>
      <c r="AN18" s="165">
        <f t="shared" si="43"/>
        <v>0.0243</v>
      </c>
      <c r="AO18" s="225">
        <f t="shared" si="44"/>
        <v>4.95</v>
      </c>
      <c r="AP18" s="215"/>
      <c r="AQ18" s="215"/>
      <c r="AR18" s="225">
        <f t="shared" si="45"/>
        <v>0</v>
      </c>
      <c r="AS18" s="167">
        <f t="shared" si="46"/>
        <v>4.95</v>
      </c>
      <c r="AT18" s="176">
        <v>0</v>
      </c>
      <c r="AU18" s="176">
        <v>634</v>
      </c>
      <c r="AV18" s="176">
        <v>250</v>
      </c>
      <c r="AW18" s="176">
        <v>100</v>
      </c>
      <c r="AX18" s="176">
        <v>1</v>
      </c>
      <c r="AY18" s="176">
        <v>0</v>
      </c>
      <c r="AZ18" s="176">
        <v>0</v>
      </c>
      <c r="BA18" s="176">
        <v>0</v>
      </c>
      <c r="BB18" s="176">
        <v>1</v>
      </c>
      <c r="BC18" s="176" t="s">
        <v>291</v>
      </c>
      <c r="BD18" s="228">
        <f>ROUND(10/300.49,4)-0.0002</f>
        <v>0.0331</v>
      </c>
      <c r="BE18" s="164">
        <f t="shared" si="47"/>
        <v>0.01655</v>
      </c>
      <c r="BF18" s="164">
        <f t="shared" si="62"/>
        <v>0.0175</v>
      </c>
      <c r="BG18" s="167">
        <f>ROUND(188.45*BF18,2)-0.08</f>
        <v>3.22</v>
      </c>
      <c r="BH18" s="232"/>
      <c r="BI18" s="233">
        <v>4171</v>
      </c>
      <c r="BJ18" s="164">
        <f t="shared" si="49"/>
        <v>0.0146118625483004</v>
      </c>
      <c r="BK18" s="164">
        <f t="shared" si="50"/>
        <v>0.00730593127415021</v>
      </c>
      <c r="BL18" s="164">
        <f t="shared" si="51"/>
        <v>0.00757174184553719</v>
      </c>
      <c r="BM18" s="167">
        <f t="shared" si="52"/>
        <v>1.47</v>
      </c>
      <c r="BN18" s="234"/>
      <c r="BO18" s="234"/>
      <c r="BP18" s="234"/>
      <c r="BQ18" s="234"/>
      <c r="BR18" s="234"/>
      <c r="BS18" s="245"/>
      <c r="BT18" s="164">
        <f t="shared" si="53"/>
        <v>0</v>
      </c>
      <c r="BU18" s="164">
        <f t="shared" si="54"/>
        <v>0</v>
      </c>
      <c r="BV18" s="164">
        <f t="shared" si="55"/>
        <v>0</v>
      </c>
      <c r="BW18" s="167">
        <f t="shared" si="56"/>
        <v>0</v>
      </c>
      <c r="BX18" s="215">
        <v>3</v>
      </c>
      <c r="BY18" s="215">
        <v>1</v>
      </c>
      <c r="BZ18" s="215">
        <v>6</v>
      </c>
      <c r="CA18" s="215"/>
      <c r="CB18" s="215"/>
      <c r="CC18" s="215"/>
      <c r="CD18" s="207"/>
      <c r="CE18" s="215"/>
      <c r="CF18" s="164"/>
      <c r="CG18" s="167"/>
      <c r="CH18" s="190"/>
      <c r="CI18" s="190"/>
      <c r="CJ18" s="166"/>
      <c r="CK18" s="166"/>
      <c r="CL18" s="166"/>
      <c r="CM18" s="193">
        <f t="shared" si="57"/>
        <v>0</v>
      </c>
      <c r="CN18" s="261">
        <v>2000</v>
      </c>
      <c r="CO18" s="193">
        <v>10</v>
      </c>
      <c r="CP18" s="193">
        <f t="shared" si="66"/>
        <v>10</v>
      </c>
      <c r="CQ18" s="262">
        <v>5</v>
      </c>
      <c r="CR18" s="262">
        <v>1</v>
      </c>
      <c r="CS18" s="262">
        <v>5</v>
      </c>
      <c r="CT18" s="176">
        <v>114</v>
      </c>
      <c r="CU18" s="166">
        <f t="shared" si="26"/>
        <v>0.0330772549377815</v>
      </c>
      <c r="CV18" s="166">
        <f t="shared" si="27"/>
        <v>0.0165386274688907</v>
      </c>
      <c r="CW18" s="164">
        <f t="shared" si="58"/>
        <v>0.018</v>
      </c>
      <c r="CX18" s="272">
        <f t="shared" si="59"/>
        <v>13.66</v>
      </c>
      <c r="CY18" s="273">
        <v>1</v>
      </c>
      <c r="CZ18" s="274">
        <f>CY18/CY8</f>
        <v>0.166666666666667</v>
      </c>
      <c r="DA18" s="272">
        <v>3</v>
      </c>
      <c r="DB18" s="193"/>
      <c r="DC18" s="225"/>
      <c r="DD18" s="288">
        <f t="shared" si="60"/>
        <v>229.05</v>
      </c>
    </row>
    <row r="19" s="114" customFormat="1" ht="10" customHeight="1" spans="1:108">
      <c r="A19" s="161" t="s">
        <v>93</v>
      </c>
      <c r="B19" s="170">
        <v>0.5</v>
      </c>
      <c r="C19" s="163">
        <v>1318784</v>
      </c>
      <c r="D19" s="164">
        <f t="shared" si="28"/>
        <v>0.0428</v>
      </c>
      <c r="E19" s="165">
        <f t="shared" si="29"/>
        <v>0.0214</v>
      </c>
      <c r="F19" s="166">
        <f t="shared" si="30"/>
        <v>0.0268120027563741</v>
      </c>
      <c r="G19" s="167">
        <f t="shared" si="31"/>
        <v>5.5</v>
      </c>
      <c r="H19" s="168">
        <v>2817</v>
      </c>
      <c r="I19" s="190">
        <v>25828</v>
      </c>
      <c r="J19" s="191">
        <f t="shared" si="61"/>
        <v>0.0389</v>
      </c>
      <c r="K19" s="166">
        <f t="shared" si="32"/>
        <v>0.01945</v>
      </c>
      <c r="L19" s="192">
        <f t="shared" si="33"/>
        <v>0.0253</v>
      </c>
      <c r="M19" s="193">
        <f t="shared" si="34"/>
        <v>69.29</v>
      </c>
      <c r="N19" s="163"/>
      <c r="O19" s="163"/>
      <c r="P19" s="163"/>
      <c r="Q19" s="163"/>
      <c r="R19" s="166">
        <f t="shared" si="23"/>
        <v>0</v>
      </c>
      <c r="S19" s="166">
        <f t="shared" si="35"/>
        <v>0</v>
      </c>
      <c r="T19" s="166">
        <f t="shared" si="36"/>
        <v>0</v>
      </c>
      <c r="U19" s="193">
        <f t="shared" si="24"/>
        <v>0</v>
      </c>
      <c r="V19" s="193"/>
      <c r="W19" s="193">
        <f t="shared" si="37"/>
        <v>0</v>
      </c>
      <c r="X19" s="168">
        <v>3914</v>
      </c>
      <c r="Y19" s="203">
        <v>6185</v>
      </c>
      <c r="Z19" s="203">
        <v>1</v>
      </c>
      <c r="AA19" s="203">
        <v>1</v>
      </c>
      <c r="AB19" s="191">
        <f t="shared" si="38"/>
        <v>0.0446</v>
      </c>
      <c r="AC19" s="204">
        <f t="shared" si="25"/>
        <v>0.0223</v>
      </c>
      <c r="AD19" s="166">
        <f t="shared" si="39"/>
        <v>0.0273</v>
      </c>
      <c r="AE19" s="193">
        <f t="shared" si="40"/>
        <v>36.29</v>
      </c>
      <c r="AF19" s="163">
        <v>0</v>
      </c>
      <c r="AG19" s="163">
        <v>2240</v>
      </c>
      <c r="AH19" s="214">
        <v>1</v>
      </c>
      <c r="AI19" s="215">
        <v>2</v>
      </c>
      <c r="AJ19" s="215"/>
      <c r="AK19" s="215"/>
      <c r="AL19" s="165">
        <f t="shared" si="41"/>
        <v>0.0520176730486009</v>
      </c>
      <c r="AM19" s="165">
        <f t="shared" si="42"/>
        <v>0.0260088365243004</v>
      </c>
      <c r="AN19" s="165">
        <f t="shared" si="43"/>
        <v>0.0328</v>
      </c>
      <c r="AO19" s="225">
        <f t="shared" si="44"/>
        <v>6.68</v>
      </c>
      <c r="AP19" s="215"/>
      <c r="AQ19" s="215"/>
      <c r="AR19" s="225">
        <f t="shared" si="45"/>
        <v>0</v>
      </c>
      <c r="AS19" s="167">
        <f t="shared" si="46"/>
        <v>6.68</v>
      </c>
      <c r="AT19" s="176">
        <v>0</v>
      </c>
      <c r="AU19" s="176">
        <v>210</v>
      </c>
      <c r="AV19" s="176">
        <v>0</v>
      </c>
      <c r="AW19" s="176">
        <v>130</v>
      </c>
      <c r="AX19" s="176">
        <v>1</v>
      </c>
      <c r="AY19" s="176">
        <v>1</v>
      </c>
      <c r="AZ19" s="176">
        <v>1</v>
      </c>
      <c r="BA19" s="176">
        <v>0</v>
      </c>
      <c r="BB19" s="176">
        <v>0</v>
      </c>
      <c r="BC19" s="176">
        <v>0</v>
      </c>
      <c r="BD19" s="228">
        <f>ROUND(7.6/300.49,4)</f>
        <v>0.0253</v>
      </c>
      <c r="BE19" s="164">
        <f t="shared" si="47"/>
        <v>0.01265</v>
      </c>
      <c r="BF19" s="164">
        <f t="shared" si="62"/>
        <v>0.0134</v>
      </c>
      <c r="BG19" s="167">
        <f t="shared" si="48"/>
        <v>2.53</v>
      </c>
      <c r="BH19" s="232"/>
      <c r="BI19" s="233">
        <v>1630</v>
      </c>
      <c r="BJ19" s="164">
        <f t="shared" si="49"/>
        <v>0.00571022199801719</v>
      </c>
      <c r="BK19" s="164">
        <f t="shared" si="50"/>
        <v>0.00285511099900859</v>
      </c>
      <c r="BL19" s="164">
        <f t="shared" si="51"/>
        <v>0.00295898806238927</v>
      </c>
      <c r="BM19" s="167">
        <f t="shared" si="52"/>
        <v>0.57</v>
      </c>
      <c r="BN19" s="234"/>
      <c r="BO19" s="234"/>
      <c r="BP19" s="234"/>
      <c r="BQ19" s="234"/>
      <c r="BR19" s="234"/>
      <c r="BS19" s="245"/>
      <c r="BT19" s="164">
        <f t="shared" si="53"/>
        <v>0</v>
      </c>
      <c r="BU19" s="164">
        <f t="shared" si="54"/>
        <v>0</v>
      </c>
      <c r="BV19" s="164">
        <f t="shared" si="55"/>
        <v>0</v>
      </c>
      <c r="BW19" s="167">
        <f t="shared" si="56"/>
        <v>0</v>
      </c>
      <c r="BX19" s="215">
        <v>3</v>
      </c>
      <c r="BY19" s="215">
        <v>1</v>
      </c>
      <c r="BZ19" s="215">
        <v>6</v>
      </c>
      <c r="CA19" s="215">
        <v>1</v>
      </c>
      <c r="CB19" s="215"/>
      <c r="CC19" s="215"/>
      <c r="CD19" s="207"/>
      <c r="CE19" s="215"/>
      <c r="CF19" s="164"/>
      <c r="CG19" s="167"/>
      <c r="CH19" s="190">
        <v>500</v>
      </c>
      <c r="CI19" s="190"/>
      <c r="CJ19" s="166">
        <f t="shared" si="63"/>
        <v>0.0118</v>
      </c>
      <c r="CK19" s="166">
        <f t="shared" si="64"/>
        <v>0.0059</v>
      </c>
      <c r="CL19" s="166">
        <f t="shared" si="65"/>
        <v>0.0061564146710492</v>
      </c>
      <c r="CM19" s="193">
        <f t="shared" si="57"/>
        <v>0.77</v>
      </c>
      <c r="CN19" s="261"/>
      <c r="CO19" s="193"/>
      <c r="CP19" s="193">
        <f t="shared" si="66"/>
        <v>0.77</v>
      </c>
      <c r="CQ19" s="262">
        <v>5</v>
      </c>
      <c r="CR19" s="262"/>
      <c r="CS19" s="262">
        <v>5</v>
      </c>
      <c r="CT19" s="176">
        <v>96</v>
      </c>
      <c r="CU19" s="166">
        <f t="shared" si="26"/>
        <v>0.0216270262294391</v>
      </c>
      <c r="CV19" s="166">
        <f t="shared" si="27"/>
        <v>0.0108135131147195</v>
      </c>
      <c r="CW19" s="164">
        <f t="shared" si="58"/>
        <v>0.0117</v>
      </c>
      <c r="CX19" s="272">
        <f t="shared" si="59"/>
        <v>8.88</v>
      </c>
      <c r="CY19" s="273"/>
      <c r="CZ19" s="274"/>
      <c r="DA19" s="272"/>
      <c r="DB19" s="193"/>
      <c r="DC19" s="225"/>
      <c r="DD19" s="288">
        <f t="shared" si="60"/>
        <v>130.51</v>
      </c>
    </row>
    <row r="20" s="114" customFormat="1" ht="10" customHeight="1" spans="1:108">
      <c r="A20" s="161" t="s">
        <v>94</v>
      </c>
      <c r="B20" s="170">
        <v>0.5</v>
      </c>
      <c r="C20" s="163">
        <v>1161980</v>
      </c>
      <c r="D20" s="164">
        <f t="shared" si="28"/>
        <v>0.0377</v>
      </c>
      <c r="E20" s="165">
        <f t="shared" si="29"/>
        <v>0.01885</v>
      </c>
      <c r="F20" s="166">
        <f t="shared" si="30"/>
        <v>0.0236171145774604</v>
      </c>
      <c r="G20" s="167">
        <f t="shared" si="31"/>
        <v>4.84</v>
      </c>
      <c r="H20" s="168">
        <v>3310</v>
      </c>
      <c r="I20" s="190">
        <v>59748</v>
      </c>
      <c r="J20" s="191">
        <f t="shared" si="61"/>
        <v>0.0567</v>
      </c>
      <c r="K20" s="166">
        <f t="shared" si="32"/>
        <v>0.02835</v>
      </c>
      <c r="L20" s="192">
        <f t="shared" si="33"/>
        <v>0.0368</v>
      </c>
      <c r="M20" s="193">
        <f t="shared" si="34"/>
        <v>100.79</v>
      </c>
      <c r="N20" s="163">
        <v>37</v>
      </c>
      <c r="O20" s="163"/>
      <c r="P20" s="163"/>
      <c r="Q20" s="163">
        <v>687</v>
      </c>
      <c r="R20" s="166">
        <f t="shared" si="23"/>
        <v>0.1172</v>
      </c>
      <c r="S20" s="166">
        <f t="shared" si="35"/>
        <v>0.0586</v>
      </c>
      <c r="T20" s="166">
        <f t="shared" si="36"/>
        <v>0.0622411046202868</v>
      </c>
      <c r="U20" s="193">
        <f t="shared" si="24"/>
        <v>43.66</v>
      </c>
      <c r="V20" s="193"/>
      <c r="W20" s="193">
        <f t="shared" si="37"/>
        <v>43.66</v>
      </c>
      <c r="X20" s="168">
        <v>4455</v>
      </c>
      <c r="Y20" s="203">
        <v>6410</v>
      </c>
      <c r="Z20" s="203">
        <v>8</v>
      </c>
      <c r="AA20" s="203">
        <v>1</v>
      </c>
      <c r="AB20" s="191">
        <f t="shared" si="38"/>
        <v>0.0473</v>
      </c>
      <c r="AC20" s="204">
        <f t="shared" si="25"/>
        <v>0.02365</v>
      </c>
      <c r="AD20" s="166">
        <f t="shared" si="39"/>
        <v>0.029</v>
      </c>
      <c r="AE20" s="193">
        <f t="shared" si="40"/>
        <v>38.55</v>
      </c>
      <c r="AF20" s="163">
        <v>210</v>
      </c>
      <c r="AG20" s="163">
        <v>873</v>
      </c>
      <c r="AH20" s="214">
        <v>7</v>
      </c>
      <c r="AI20" s="215">
        <v>1</v>
      </c>
      <c r="AJ20" s="215">
        <v>1</v>
      </c>
      <c r="AK20" s="215"/>
      <c r="AL20" s="165">
        <f t="shared" si="41"/>
        <v>0.0605385370643103</v>
      </c>
      <c r="AM20" s="165">
        <f t="shared" si="42"/>
        <v>0.0302692685321551</v>
      </c>
      <c r="AN20" s="165">
        <f t="shared" si="43"/>
        <v>0.0382</v>
      </c>
      <c r="AO20" s="225">
        <f t="shared" si="44"/>
        <v>7.78</v>
      </c>
      <c r="AP20" s="215"/>
      <c r="AQ20" s="215"/>
      <c r="AR20" s="225">
        <f t="shared" si="45"/>
        <v>0</v>
      </c>
      <c r="AS20" s="167">
        <f t="shared" si="46"/>
        <v>7.78</v>
      </c>
      <c r="AT20" s="176">
        <v>3</v>
      </c>
      <c r="AU20" s="176">
        <v>279</v>
      </c>
      <c r="AV20" s="176">
        <v>750</v>
      </c>
      <c r="AW20" s="176">
        <v>80</v>
      </c>
      <c r="AX20" s="176">
        <v>1</v>
      </c>
      <c r="AY20" s="176">
        <v>2</v>
      </c>
      <c r="AZ20" s="176">
        <v>1</v>
      </c>
      <c r="BA20" s="176">
        <v>0</v>
      </c>
      <c r="BB20" s="176">
        <v>0</v>
      </c>
      <c r="BC20" s="176" t="s">
        <v>292</v>
      </c>
      <c r="BD20" s="228">
        <f>ROUND(7.6/300.49,4)-0.0001</f>
        <v>0.0252</v>
      </c>
      <c r="BE20" s="164">
        <f t="shared" si="47"/>
        <v>0.0126</v>
      </c>
      <c r="BF20" s="164">
        <f t="shared" si="62"/>
        <v>0.0133</v>
      </c>
      <c r="BG20" s="167">
        <f t="shared" si="48"/>
        <v>2.51</v>
      </c>
      <c r="BH20" s="232"/>
      <c r="BI20" s="233">
        <v>2281</v>
      </c>
      <c r="BJ20" s="164">
        <f t="shared" si="49"/>
        <v>0.0079908075935443</v>
      </c>
      <c r="BK20" s="164">
        <f t="shared" si="50"/>
        <v>0.00399540379677215</v>
      </c>
      <c r="BL20" s="164">
        <f t="shared" si="51"/>
        <v>0.00414076795724535</v>
      </c>
      <c r="BM20" s="167">
        <f t="shared" si="52"/>
        <v>0.8</v>
      </c>
      <c r="BN20" s="245">
        <v>13876</v>
      </c>
      <c r="BO20" s="245">
        <v>436</v>
      </c>
      <c r="BP20" s="245">
        <v>124</v>
      </c>
      <c r="BQ20" s="245">
        <v>0</v>
      </c>
      <c r="BR20" s="245"/>
      <c r="BS20" s="245"/>
      <c r="BT20" s="164">
        <f t="shared" si="53"/>
        <v>0.033418105955437</v>
      </c>
      <c r="BU20" s="164">
        <f t="shared" si="54"/>
        <v>0.0167090529777185</v>
      </c>
      <c r="BV20" s="164">
        <f t="shared" si="55"/>
        <v>0.017</v>
      </c>
      <c r="BW20" s="167">
        <f t="shared" si="56"/>
        <v>22.26</v>
      </c>
      <c r="BX20" s="215">
        <v>3</v>
      </c>
      <c r="BY20" s="215">
        <v>2</v>
      </c>
      <c r="BZ20" s="215">
        <v>6</v>
      </c>
      <c r="CA20" s="215"/>
      <c r="CB20" s="215"/>
      <c r="CC20" s="215">
        <v>1</v>
      </c>
      <c r="CD20" s="207">
        <f>ROUND((BX20*0+(BY20-1)*1+1*5+BZ20*1+CA20*8+CB20*20)/580,4)+0.0001</f>
        <v>0.0208</v>
      </c>
      <c r="CE20" s="215">
        <f t="shared" si="69"/>
        <v>0.0104</v>
      </c>
      <c r="CF20" s="165">
        <f>ROUND(CE20/SUM(CE$9:CE$28,CE$30:CE$64),4)+0.0003</f>
        <v>0.0108</v>
      </c>
      <c r="CG20" s="167">
        <f>ROUND(580*CF20,2)-0.11</f>
        <v>6.15</v>
      </c>
      <c r="CH20" s="190">
        <v>3000</v>
      </c>
      <c r="CI20" s="190"/>
      <c r="CJ20" s="166">
        <f t="shared" si="63"/>
        <v>0.0709</v>
      </c>
      <c r="CK20" s="166">
        <f t="shared" si="64"/>
        <v>0.03545</v>
      </c>
      <c r="CL20" s="166">
        <f t="shared" si="65"/>
        <v>0.0369906610319821</v>
      </c>
      <c r="CM20" s="193">
        <f t="shared" si="57"/>
        <v>4.62</v>
      </c>
      <c r="CN20" s="261"/>
      <c r="CO20" s="193"/>
      <c r="CP20" s="193">
        <f t="shared" si="66"/>
        <v>10.77</v>
      </c>
      <c r="CQ20" s="262">
        <v>7</v>
      </c>
      <c r="CR20" s="262">
        <v>1</v>
      </c>
      <c r="CS20" s="262">
        <v>7</v>
      </c>
      <c r="CT20" s="176">
        <v>256</v>
      </c>
      <c r="CU20" s="166">
        <f t="shared" si="26"/>
        <v>0.0615860484397946</v>
      </c>
      <c r="CV20" s="166">
        <f t="shared" si="27"/>
        <v>0.0307930242198973</v>
      </c>
      <c r="CW20" s="164">
        <f t="shared" si="58"/>
        <v>0.0335</v>
      </c>
      <c r="CX20" s="272">
        <f t="shared" si="59"/>
        <v>25.43</v>
      </c>
      <c r="CY20" s="273"/>
      <c r="CZ20" s="274"/>
      <c r="DA20" s="272"/>
      <c r="DB20" s="193"/>
      <c r="DC20" s="225"/>
      <c r="DD20" s="288">
        <f t="shared" si="60"/>
        <v>257.39</v>
      </c>
    </row>
    <row r="21" s="114" customFormat="1" ht="10" customHeight="1" spans="1:108">
      <c r="A21" s="161" t="s">
        <v>95</v>
      </c>
      <c r="B21" s="170">
        <v>1</v>
      </c>
      <c r="C21" s="163">
        <v>482240</v>
      </c>
      <c r="D21" s="164">
        <f t="shared" si="28"/>
        <v>0.0157</v>
      </c>
      <c r="E21" s="165">
        <f t="shared" si="29"/>
        <v>0.0157</v>
      </c>
      <c r="F21" s="166">
        <f t="shared" si="30"/>
        <v>0.0196704880035081</v>
      </c>
      <c r="G21" s="167">
        <f t="shared" si="31"/>
        <v>4.03</v>
      </c>
      <c r="H21" s="168">
        <v>3376</v>
      </c>
      <c r="I21" s="190">
        <v>22412</v>
      </c>
      <c r="J21" s="191">
        <f t="shared" si="61"/>
        <v>0.0435</v>
      </c>
      <c r="K21" s="166">
        <f t="shared" si="32"/>
        <v>0.0435</v>
      </c>
      <c r="L21" s="192">
        <f t="shared" si="33"/>
        <v>0.0565</v>
      </c>
      <c r="M21" s="193">
        <f t="shared" si="34"/>
        <v>154.75</v>
      </c>
      <c r="N21" s="163">
        <v>7</v>
      </c>
      <c r="O21" s="163"/>
      <c r="P21" s="163"/>
      <c r="Q21" s="163">
        <v>450</v>
      </c>
      <c r="R21" s="166">
        <f t="shared" si="23"/>
        <v>0.0267</v>
      </c>
      <c r="S21" s="166">
        <f t="shared" si="35"/>
        <v>0.0267</v>
      </c>
      <c r="T21" s="166">
        <f t="shared" si="36"/>
        <v>0.0283590015932024</v>
      </c>
      <c r="U21" s="193">
        <f t="shared" si="24"/>
        <v>19.89</v>
      </c>
      <c r="V21" s="193">
        <v>100</v>
      </c>
      <c r="W21" s="193">
        <f t="shared" si="37"/>
        <v>119.89</v>
      </c>
      <c r="X21" s="168">
        <v>3774</v>
      </c>
      <c r="Y21" s="203">
        <v>6210</v>
      </c>
      <c r="Z21" s="203">
        <v>3</v>
      </c>
      <c r="AA21" s="203">
        <v>1</v>
      </c>
      <c r="AB21" s="191">
        <f t="shared" si="38"/>
        <v>0.0444</v>
      </c>
      <c r="AC21" s="204">
        <f t="shared" si="25"/>
        <v>0.0444</v>
      </c>
      <c r="AD21" s="166">
        <f t="shared" si="39"/>
        <v>0.0544</v>
      </c>
      <c r="AE21" s="193">
        <f t="shared" si="40"/>
        <v>72.32</v>
      </c>
      <c r="AF21" s="163">
        <v>120</v>
      </c>
      <c r="AG21" s="163">
        <v>1439</v>
      </c>
      <c r="AH21" s="214">
        <v>3</v>
      </c>
      <c r="AI21" s="215"/>
      <c r="AJ21" s="215"/>
      <c r="AK21" s="215"/>
      <c r="AL21" s="165">
        <f t="shared" si="41"/>
        <v>0.0278502700049092</v>
      </c>
      <c r="AM21" s="165">
        <f t="shared" si="42"/>
        <v>0.0278502700049092</v>
      </c>
      <c r="AN21" s="165">
        <f>ROUND(AM21/SUM(AM$9:AM$28,AM$30:AM$64),4)+0.0001</f>
        <v>0.0353</v>
      </c>
      <c r="AO21" s="225">
        <f>+ROUND(203.7*AN21,2)+0.01</f>
        <v>7.2</v>
      </c>
      <c r="AP21" s="215"/>
      <c r="AQ21" s="215"/>
      <c r="AR21" s="225">
        <f t="shared" si="45"/>
        <v>0</v>
      </c>
      <c r="AS21" s="167">
        <f t="shared" si="46"/>
        <v>7.2</v>
      </c>
      <c r="AT21" s="176">
        <v>2</v>
      </c>
      <c r="AU21" s="176">
        <v>92</v>
      </c>
      <c r="AV21" s="176">
        <v>0</v>
      </c>
      <c r="AW21" s="176">
        <v>0</v>
      </c>
      <c r="AX21" s="176">
        <v>1</v>
      </c>
      <c r="AY21" s="176">
        <v>1</v>
      </c>
      <c r="AZ21" s="176">
        <v>0</v>
      </c>
      <c r="BA21" s="176">
        <v>1</v>
      </c>
      <c r="BB21" s="176">
        <v>0</v>
      </c>
      <c r="BC21" s="176" t="s">
        <v>292</v>
      </c>
      <c r="BD21" s="228">
        <f>ROUND(7.28/300.49,4)</f>
        <v>0.0242</v>
      </c>
      <c r="BE21" s="164">
        <f t="shared" si="47"/>
        <v>0.0242</v>
      </c>
      <c r="BF21" s="164">
        <f t="shared" si="62"/>
        <v>0.0256</v>
      </c>
      <c r="BG21" s="167">
        <f t="shared" si="48"/>
        <v>4.82</v>
      </c>
      <c r="BH21" s="232">
        <v>20</v>
      </c>
      <c r="BI21" s="233">
        <v>825</v>
      </c>
      <c r="BJ21" s="164">
        <f t="shared" si="49"/>
        <v>0.0220176351273239</v>
      </c>
      <c r="BK21" s="164">
        <f t="shared" si="50"/>
        <v>0.0220176351273239</v>
      </c>
      <c r="BL21" s="164">
        <f t="shared" si="51"/>
        <v>0.0228186993522902</v>
      </c>
      <c r="BM21" s="167">
        <f t="shared" si="52"/>
        <v>4.42</v>
      </c>
      <c r="BN21" s="245">
        <v>10004</v>
      </c>
      <c r="BO21" s="245">
        <v>328</v>
      </c>
      <c r="BP21" s="245">
        <v>76</v>
      </c>
      <c r="BQ21" s="245">
        <v>12</v>
      </c>
      <c r="BR21" s="245">
        <v>1</v>
      </c>
      <c r="BS21" s="245"/>
      <c r="BT21" s="164">
        <f t="shared" si="53"/>
        <v>0.0521661535120714</v>
      </c>
      <c r="BU21" s="164">
        <f t="shared" si="54"/>
        <v>0.0521661535120714</v>
      </c>
      <c r="BV21" s="164">
        <f t="shared" si="55"/>
        <v>0.0531</v>
      </c>
      <c r="BW21" s="167">
        <f t="shared" si="56"/>
        <v>69.53</v>
      </c>
      <c r="BX21" s="215">
        <v>1</v>
      </c>
      <c r="BY21" s="215">
        <v>1</v>
      </c>
      <c r="BZ21" s="215">
        <v>6</v>
      </c>
      <c r="CA21" s="215"/>
      <c r="CB21" s="215">
        <v>1</v>
      </c>
      <c r="CC21" s="215"/>
      <c r="CD21" s="207">
        <f t="shared" si="71"/>
        <v>0.0724</v>
      </c>
      <c r="CE21" s="215">
        <f t="shared" si="69"/>
        <v>0.0724</v>
      </c>
      <c r="CF21" s="165">
        <f t="shared" ref="CF21:CF28" si="72">ROUND(CE21/SUM(CE$9:CE$28,CE$30:CE$64),4)</f>
        <v>0.0732</v>
      </c>
      <c r="CG21" s="167">
        <f t="shared" si="67"/>
        <v>42.46</v>
      </c>
      <c r="CH21" s="190">
        <v>500</v>
      </c>
      <c r="CI21" s="190">
        <v>2000</v>
      </c>
      <c r="CJ21" s="166">
        <f t="shared" si="63"/>
        <v>0.0524</v>
      </c>
      <c r="CK21" s="166">
        <f t="shared" si="64"/>
        <v>0.0524</v>
      </c>
      <c r="CL21" s="166">
        <f t="shared" si="65"/>
        <v>0.0546773099598268</v>
      </c>
      <c r="CM21" s="193">
        <f t="shared" si="57"/>
        <v>6.83</v>
      </c>
      <c r="CN21" s="261"/>
      <c r="CO21" s="193"/>
      <c r="CP21" s="193">
        <f t="shared" si="66"/>
        <v>49.29</v>
      </c>
      <c r="CQ21" s="262">
        <v>3</v>
      </c>
      <c r="CR21" s="262">
        <v>1</v>
      </c>
      <c r="CS21" s="262">
        <v>3</v>
      </c>
      <c r="CT21" s="176">
        <v>105</v>
      </c>
      <c r="CU21" s="166">
        <f t="shared" si="26"/>
        <v>0.0300618180029651</v>
      </c>
      <c r="CV21" s="166">
        <f t="shared" si="27"/>
        <v>0.0300618180029651</v>
      </c>
      <c r="CW21" s="164">
        <f t="shared" si="58"/>
        <v>0.0327</v>
      </c>
      <c r="CX21" s="272">
        <f t="shared" si="59"/>
        <v>24.82</v>
      </c>
      <c r="CY21" s="273"/>
      <c r="CZ21" s="274"/>
      <c r="DA21" s="272"/>
      <c r="DB21" s="193">
        <v>15</v>
      </c>
      <c r="DC21" s="225"/>
      <c r="DD21" s="288">
        <f t="shared" si="60"/>
        <v>526.07</v>
      </c>
    </row>
    <row r="22" s="114" customFormat="1" ht="10" customHeight="1" spans="1:108">
      <c r="A22" s="161" t="s">
        <v>96</v>
      </c>
      <c r="B22" s="170">
        <v>1</v>
      </c>
      <c r="C22" s="163">
        <v>1398010</v>
      </c>
      <c r="D22" s="164">
        <f t="shared" si="28"/>
        <v>0.0454</v>
      </c>
      <c r="E22" s="165">
        <f t="shared" si="29"/>
        <v>0.0454</v>
      </c>
      <c r="F22" s="166">
        <f t="shared" si="30"/>
        <v>0.0568815385579152</v>
      </c>
      <c r="G22" s="167">
        <f t="shared" si="31"/>
        <v>11.66</v>
      </c>
      <c r="H22" s="168">
        <v>1265</v>
      </c>
      <c r="I22" s="190">
        <v>46180</v>
      </c>
      <c r="J22" s="191">
        <f t="shared" si="61"/>
        <v>0.0304</v>
      </c>
      <c r="K22" s="166">
        <f t="shared" si="32"/>
        <v>0.0304</v>
      </c>
      <c r="L22" s="192">
        <f t="shared" si="33"/>
        <v>0.0395</v>
      </c>
      <c r="M22" s="193">
        <f t="shared" si="34"/>
        <v>108.18</v>
      </c>
      <c r="N22" s="163">
        <v>3</v>
      </c>
      <c r="O22" s="163"/>
      <c r="P22" s="163"/>
      <c r="Q22" s="163">
        <v>749</v>
      </c>
      <c r="R22" s="166">
        <f t="shared" si="23"/>
        <v>0.0193</v>
      </c>
      <c r="S22" s="166">
        <f t="shared" si="35"/>
        <v>0.0193</v>
      </c>
      <c r="T22" s="166">
        <f t="shared" si="36"/>
        <v>0.0204992033988317</v>
      </c>
      <c r="U22" s="193">
        <f t="shared" si="24"/>
        <v>14.38</v>
      </c>
      <c r="V22" s="193"/>
      <c r="W22" s="193">
        <f t="shared" si="37"/>
        <v>14.38</v>
      </c>
      <c r="X22" s="168">
        <v>7415</v>
      </c>
      <c r="Y22" s="203">
        <v>8910</v>
      </c>
      <c r="Z22" s="203">
        <v>3</v>
      </c>
      <c r="AA22" s="203">
        <v>1</v>
      </c>
      <c r="AB22" s="191">
        <f t="shared" si="38"/>
        <v>0.0691</v>
      </c>
      <c r="AC22" s="204">
        <f t="shared" si="25"/>
        <v>0.0691</v>
      </c>
      <c r="AD22" s="166">
        <f t="shared" si="39"/>
        <v>0.0847</v>
      </c>
      <c r="AE22" s="193">
        <f t="shared" si="40"/>
        <v>112.6</v>
      </c>
      <c r="AF22" s="163">
        <v>270</v>
      </c>
      <c r="AG22" s="163">
        <v>835</v>
      </c>
      <c r="AH22" s="214">
        <v>6</v>
      </c>
      <c r="AI22" s="215"/>
      <c r="AJ22" s="215"/>
      <c r="AK22" s="215"/>
      <c r="AL22" s="165">
        <f t="shared" si="41"/>
        <v>0.0280878743249877</v>
      </c>
      <c r="AM22" s="165">
        <f t="shared" si="42"/>
        <v>0.0280878743249877</v>
      </c>
      <c r="AN22" s="165">
        <f t="shared" si="43"/>
        <v>0.0355</v>
      </c>
      <c r="AO22" s="225">
        <f t="shared" si="44"/>
        <v>7.23</v>
      </c>
      <c r="AP22" s="215"/>
      <c r="AQ22" s="215"/>
      <c r="AR22" s="225">
        <f t="shared" si="45"/>
        <v>0</v>
      </c>
      <c r="AS22" s="167">
        <f t="shared" si="46"/>
        <v>7.23</v>
      </c>
      <c r="AT22" s="176">
        <v>2</v>
      </c>
      <c r="AU22" s="176">
        <v>258</v>
      </c>
      <c r="AV22" s="176">
        <v>250</v>
      </c>
      <c r="AW22" s="176">
        <v>50</v>
      </c>
      <c r="AX22" s="176">
        <v>1</v>
      </c>
      <c r="AY22" s="176">
        <v>2</v>
      </c>
      <c r="AZ22" s="176">
        <v>0</v>
      </c>
      <c r="BA22" s="176">
        <v>1</v>
      </c>
      <c r="BB22" s="176">
        <v>0</v>
      </c>
      <c r="BC22" s="176">
        <v>0</v>
      </c>
      <c r="BD22" s="228">
        <f>ROUND(16.77/300.49,4)</f>
        <v>0.0558</v>
      </c>
      <c r="BE22" s="164">
        <f t="shared" si="47"/>
        <v>0.0558</v>
      </c>
      <c r="BF22" s="164">
        <f t="shared" si="62"/>
        <v>0.0591</v>
      </c>
      <c r="BG22" s="167">
        <f t="shared" si="48"/>
        <v>11.14</v>
      </c>
      <c r="BH22" s="232">
        <v>169</v>
      </c>
      <c r="BI22" s="233">
        <v>1791</v>
      </c>
      <c r="BJ22" s="164">
        <f t="shared" si="49"/>
        <v>0.167901545963784</v>
      </c>
      <c r="BK22" s="164">
        <f t="shared" si="50"/>
        <v>0.167901545963784</v>
      </c>
      <c r="BL22" s="164">
        <f t="shared" si="51"/>
        <v>0.174010282029684</v>
      </c>
      <c r="BM22" s="167">
        <f t="shared" si="52"/>
        <v>33.72</v>
      </c>
      <c r="BN22" s="245">
        <v>22071</v>
      </c>
      <c r="BO22" s="245">
        <v>412</v>
      </c>
      <c r="BP22" s="245">
        <v>128</v>
      </c>
      <c r="BQ22" s="245">
        <v>0</v>
      </c>
      <c r="BR22" s="245">
        <v>1</v>
      </c>
      <c r="BS22" s="245"/>
      <c r="BT22" s="164">
        <f t="shared" si="53"/>
        <v>0.054616599840237</v>
      </c>
      <c r="BU22" s="164">
        <f t="shared" si="54"/>
        <v>0.054616599840237</v>
      </c>
      <c r="BV22" s="164">
        <f t="shared" si="55"/>
        <v>0.0555</v>
      </c>
      <c r="BW22" s="167">
        <f t="shared" si="56"/>
        <v>72.68</v>
      </c>
      <c r="BX22" s="215">
        <v>1</v>
      </c>
      <c r="BY22" s="215">
        <v>2</v>
      </c>
      <c r="BZ22" s="215">
        <v>6</v>
      </c>
      <c r="CA22" s="215">
        <v>1</v>
      </c>
      <c r="CB22" s="215"/>
      <c r="CC22" s="215">
        <v>1</v>
      </c>
      <c r="CD22" s="207">
        <f t="shared" ref="CD22:CD27" si="73">ROUND((BX22*15+(BY22-1)*1+1*5+BZ22*1+CA22*8+CB22*20)/580,4)+0.0001</f>
        <v>0.0604</v>
      </c>
      <c r="CE22" s="215">
        <f t="shared" si="69"/>
        <v>0.0604</v>
      </c>
      <c r="CF22" s="165">
        <f t="shared" si="72"/>
        <v>0.061</v>
      </c>
      <c r="CG22" s="167">
        <f t="shared" si="67"/>
        <v>35.38</v>
      </c>
      <c r="CH22" s="190">
        <v>2000</v>
      </c>
      <c r="CI22" s="190">
        <v>2000</v>
      </c>
      <c r="CJ22" s="166">
        <f t="shared" si="63"/>
        <v>0.0878</v>
      </c>
      <c r="CK22" s="166">
        <f t="shared" si="64"/>
        <v>0.0878</v>
      </c>
      <c r="CL22" s="166">
        <f t="shared" si="65"/>
        <v>0.091615797986122</v>
      </c>
      <c r="CM22" s="193">
        <f t="shared" si="57"/>
        <v>11.45</v>
      </c>
      <c r="CN22" s="261"/>
      <c r="CO22" s="193"/>
      <c r="CP22" s="193">
        <f t="shared" si="66"/>
        <v>46.83</v>
      </c>
      <c r="CQ22" s="262">
        <v>6</v>
      </c>
      <c r="CR22" s="262"/>
      <c r="CS22" s="262">
        <v>6</v>
      </c>
      <c r="CT22" s="176">
        <v>164</v>
      </c>
      <c r="CU22" s="166">
        <f t="shared" si="26"/>
        <v>0.0353063848623885</v>
      </c>
      <c r="CV22" s="166">
        <f t="shared" si="27"/>
        <v>0.0353063848623885</v>
      </c>
      <c r="CW22" s="164">
        <f t="shared" si="58"/>
        <v>0.0384</v>
      </c>
      <c r="CX22" s="272">
        <f t="shared" si="59"/>
        <v>29.15</v>
      </c>
      <c r="CY22" s="273"/>
      <c r="CZ22" s="274"/>
      <c r="DA22" s="272"/>
      <c r="DB22" s="193">
        <v>15</v>
      </c>
      <c r="DC22" s="272">
        <v>22</v>
      </c>
      <c r="DD22" s="288">
        <f t="shared" si="60"/>
        <v>484.57</v>
      </c>
    </row>
    <row r="23" s="114" customFormat="1" ht="10" customHeight="1" spans="1:108">
      <c r="A23" s="161" t="s">
        <v>97</v>
      </c>
      <c r="B23" s="170">
        <v>1</v>
      </c>
      <c r="C23" s="163">
        <v>1138624</v>
      </c>
      <c r="D23" s="164">
        <f t="shared" si="28"/>
        <v>0.037</v>
      </c>
      <c r="E23" s="165">
        <f t="shared" si="29"/>
        <v>0.037</v>
      </c>
      <c r="F23" s="166">
        <f t="shared" si="30"/>
        <v>0.0463572010273758</v>
      </c>
      <c r="G23" s="167">
        <f t="shared" si="31"/>
        <v>9.5</v>
      </c>
      <c r="H23" s="168">
        <v>1302</v>
      </c>
      <c r="I23" s="190">
        <v>42828</v>
      </c>
      <c r="J23" s="191">
        <f t="shared" si="61"/>
        <v>0.0295</v>
      </c>
      <c r="K23" s="166">
        <f t="shared" si="32"/>
        <v>0.0295</v>
      </c>
      <c r="L23" s="192">
        <f t="shared" si="33"/>
        <v>0.0383</v>
      </c>
      <c r="M23" s="193">
        <f t="shared" si="34"/>
        <v>104.9</v>
      </c>
      <c r="N23" s="163">
        <v>19</v>
      </c>
      <c r="O23" s="163"/>
      <c r="P23" s="163">
        <v>1</v>
      </c>
      <c r="Q23" s="163">
        <v>725</v>
      </c>
      <c r="R23" s="166">
        <f t="shared" si="23"/>
        <v>0.0726</v>
      </c>
      <c r="S23" s="166">
        <f t="shared" si="35"/>
        <v>0.0726</v>
      </c>
      <c r="T23" s="166">
        <f t="shared" si="36"/>
        <v>0.0771109930961233</v>
      </c>
      <c r="U23" s="193">
        <f t="shared" si="24"/>
        <v>54.09</v>
      </c>
      <c r="V23" s="193"/>
      <c r="W23" s="193">
        <f t="shared" si="37"/>
        <v>54.09</v>
      </c>
      <c r="X23" s="168">
        <v>4151</v>
      </c>
      <c r="Y23" s="203">
        <v>5090</v>
      </c>
      <c r="Z23" s="203">
        <v>4</v>
      </c>
      <c r="AA23" s="203">
        <v>1</v>
      </c>
      <c r="AB23" s="191">
        <f t="shared" si="38"/>
        <v>0.0392</v>
      </c>
      <c r="AC23" s="204">
        <f t="shared" si="25"/>
        <v>0.0392</v>
      </c>
      <c r="AD23" s="166">
        <f t="shared" si="39"/>
        <v>0.048</v>
      </c>
      <c r="AE23" s="193">
        <f t="shared" si="40"/>
        <v>63.81</v>
      </c>
      <c r="AF23" s="163">
        <v>150</v>
      </c>
      <c r="AG23" s="163">
        <v>1604</v>
      </c>
      <c r="AH23" s="214">
        <v>3</v>
      </c>
      <c r="AI23" s="215"/>
      <c r="AJ23" s="215"/>
      <c r="AK23" s="215"/>
      <c r="AL23" s="165">
        <f t="shared" si="41"/>
        <v>0.0316720667648503</v>
      </c>
      <c r="AM23" s="165">
        <f t="shared" si="42"/>
        <v>0.0316720667648503</v>
      </c>
      <c r="AN23" s="165">
        <f>ROUND(AM23/SUM(AM$9:AM$28,AM$30:AM$64),4)+0.0001</f>
        <v>0.0401</v>
      </c>
      <c r="AO23" s="225">
        <f>+ROUND(203.7*AN23,2)+0.01</f>
        <v>8.18</v>
      </c>
      <c r="AP23" s="215"/>
      <c r="AQ23" s="215"/>
      <c r="AR23" s="225">
        <f t="shared" si="45"/>
        <v>0</v>
      </c>
      <c r="AS23" s="167">
        <f t="shared" si="46"/>
        <v>8.18</v>
      </c>
      <c r="AT23" s="176">
        <v>3</v>
      </c>
      <c r="AU23" s="176">
        <v>254</v>
      </c>
      <c r="AV23" s="176">
        <v>250</v>
      </c>
      <c r="AW23" s="176">
        <v>100</v>
      </c>
      <c r="AX23" s="176">
        <v>1</v>
      </c>
      <c r="AY23" s="176">
        <v>2</v>
      </c>
      <c r="AZ23" s="176">
        <v>0</v>
      </c>
      <c r="BA23" s="176">
        <v>1</v>
      </c>
      <c r="BB23" s="176">
        <v>1</v>
      </c>
      <c r="BC23" s="176">
        <v>0</v>
      </c>
      <c r="BD23" s="228">
        <f>ROUND(22.76/300.49,4)</f>
        <v>0.0757</v>
      </c>
      <c r="BE23" s="164">
        <f t="shared" si="47"/>
        <v>0.0757</v>
      </c>
      <c r="BF23" s="164">
        <f t="shared" si="62"/>
        <v>0.0802</v>
      </c>
      <c r="BG23" s="167">
        <f t="shared" si="48"/>
        <v>15.11</v>
      </c>
      <c r="BH23" s="232">
        <v>83</v>
      </c>
      <c r="BI23" s="233">
        <v>1677</v>
      </c>
      <c r="BJ23" s="164">
        <f t="shared" si="49"/>
        <v>0.0852539647507646</v>
      </c>
      <c r="BK23" s="164">
        <f t="shared" si="50"/>
        <v>0.0852539647507646</v>
      </c>
      <c r="BL23" s="164">
        <f t="shared" si="51"/>
        <v>0.0883557466089634</v>
      </c>
      <c r="BM23" s="167">
        <f t="shared" si="52"/>
        <v>17.12</v>
      </c>
      <c r="BN23" s="245">
        <v>21245</v>
      </c>
      <c r="BO23" s="245">
        <v>532</v>
      </c>
      <c r="BP23" s="245">
        <v>180</v>
      </c>
      <c r="BQ23" s="245">
        <v>0</v>
      </c>
      <c r="BR23" s="245">
        <v>1</v>
      </c>
      <c r="BS23" s="245"/>
      <c r="BT23" s="164">
        <f t="shared" si="53"/>
        <v>0.0628256722066682</v>
      </c>
      <c r="BU23" s="164">
        <f t="shared" si="54"/>
        <v>0.0628256722066682</v>
      </c>
      <c r="BV23" s="164">
        <f t="shared" si="55"/>
        <v>0.0639</v>
      </c>
      <c r="BW23" s="167">
        <f t="shared" si="56"/>
        <v>83.68</v>
      </c>
      <c r="BX23" s="215">
        <v>2</v>
      </c>
      <c r="BY23" s="215"/>
      <c r="BZ23" s="215">
        <v>6</v>
      </c>
      <c r="CA23" s="215"/>
      <c r="CB23" s="215"/>
      <c r="CC23" s="215"/>
      <c r="CD23" s="207">
        <f t="shared" ref="CD23:CD26" si="74">ROUND((BX23*15+BY23*1+BZ23*1+CA23*8+CB23*20)/580,4)</f>
        <v>0.0621</v>
      </c>
      <c r="CE23" s="215">
        <f t="shared" si="69"/>
        <v>0.0621</v>
      </c>
      <c r="CF23" s="165">
        <f t="shared" si="72"/>
        <v>0.0628</v>
      </c>
      <c r="CG23" s="167">
        <f t="shared" si="67"/>
        <v>36.42</v>
      </c>
      <c r="CH23" s="190">
        <v>500</v>
      </c>
      <c r="CI23" s="190"/>
      <c r="CJ23" s="166">
        <f t="shared" si="63"/>
        <v>0.0118</v>
      </c>
      <c r="CK23" s="166">
        <f t="shared" si="64"/>
        <v>0.0118</v>
      </c>
      <c r="CL23" s="166">
        <f t="shared" si="65"/>
        <v>0.0123128293420984</v>
      </c>
      <c r="CM23" s="193">
        <f t="shared" si="57"/>
        <v>1.54</v>
      </c>
      <c r="CN23" s="261"/>
      <c r="CO23" s="193"/>
      <c r="CP23" s="193">
        <f t="shared" si="66"/>
        <v>37.96</v>
      </c>
      <c r="CQ23" s="262">
        <v>3</v>
      </c>
      <c r="CR23" s="262"/>
      <c r="CS23" s="262">
        <v>3</v>
      </c>
      <c r="CT23" s="176">
        <v>181</v>
      </c>
      <c r="CU23" s="166">
        <f t="shared" si="26"/>
        <v>0.0366294503270775</v>
      </c>
      <c r="CV23" s="166">
        <f t="shared" si="27"/>
        <v>0.0366294503270775</v>
      </c>
      <c r="CW23" s="164">
        <f t="shared" si="58"/>
        <v>0.0398</v>
      </c>
      <c r="CX23" s="272">
        <f t="shared" si="59"/>
        <v>30.21</v>
      </c>
      <c r="CY23" s="273"/>
      <c r="CZ23" s="274"/>
      <c r="DA23" s="272"/>
      <c r="DB23" s="193">
        <v>15</v>
      </c>
      <c r="DC23" s="225"/>
      <c r="DD23" s="288">
        <f t="shared" si="60"/>
        <v>439.56</v>
      </c>
    </row>
    <row r="24" s="114" customFormat="1" ht="10" customHeight="1" spans="1:108">
      <c r="A24" s="161" t="s">
        <v>98</v>
      </c>
      <c r="B24" s="170">
        <v>1</v>
      </c>
      <c r="C24" s="163">
        <v>596756</v>
      </c>
      <c r="D24" s="164">
        <f t="shared" si="28"/>
        <v>0.0194</v>
      </c>
      <c r="E24" s="165">
        <f t="shared" si="29"/>
        <v>0.0194</v>
      </c>
      <c r="F24" s="166">
        <f t="shared" si="30"/>
        <v>0.0243062081062457</v>
      </c>
      <c r="G24" s="167">
        <f t="shared" si="31"/>
        <v>4.98</v>
      </c>
      <c r="H24" s="168">
        <v>760</v>
      </c>
      <c r="I24" s="190">
        <v>26056</v>
      </c>
      <c r="J24" s="191">
        <f t="shared" si="61"/>
        <v>0.0176</v>
      </c>
      <c r="K24" s="166">
        <f t="shared" si="32"/>
        <v>0.0176</v>
      </c>
      <c r="L24" s="192">
        <f t="shared" si="33"/>
        <v>0.0229</v>
      </c>
      <c r="M24" s="193">
        <f t="shared" si="34"/>
        <v>62.72</v>
      </c>
      <c r="N24" s="163">
        <v>6</v>
      </c>
      <c r="O24" s="163"/>
      <c r="P24" s="163"/>
      <c r="Q24" s="163">
        <v>371</v>
      </c>
      <c r="R24" s="166">
        <f t="shared" si="23"/>
        <v>0.0227</v>
      </c>
      <c r="S24" s="166">
        <f t="shared" si="35"/>
        <v>0.0227</v>
      </c>
      <c r="T24" s="166">
        <f t="shared" si="36"/>
        <v>0.0241104620286777</v>
      </c>
      <c r="U24" s="193">
        <f t="shared" si="24"/>
        <v>16.91</v>
      </c>
      <c r="V24" s="193">
        <v>100</v>
      </c>
      <c r="W24" s="193">
        <f t="shared" si="37"/>
        <v>116.91</v>
      </c>
      <c r="X24" s="168">
        <v>4328</v>
      </c>
      <c r="Y24" s="203">
        <v>4660</v>
      </c>
      <c r="Z24" s="203">
        <v>3</v>
      </c>
      <c r="AA24" s="203">
        <v>1</v>
      </c>
      <c r="AB24" s="191">
        <f t="shared" si="38"/>
        <v>0.0373</v>
      </c>
      <c r="AC24" s="204">
        <f t="shared" si="25"/>
        <v>0.0373</v>
      </c>
      <c r="AD24" s="166">
        <f t="shared" si="39"/>
        <v>0.0457</v>
      </c>
      <c r="AE24" s="193">
        <f t="shared" si="40"/>
        <v>60.75</v>
      </c>
      <c r="AF24" s="163">
        <v>240</v>
      </c>
      <c r="AG24" s="163">
        <v>593</v>
      </c>
      <c r="AH24" s="214">
        <v>4</v>
      </c>
      <c r="AI24" s="215">
        <v>1</v>
      </c>
      <c r="AJ24" s="215"/>
      <c r="AK24" s="215">
        <v>4</v>
      </c>
      <c r="AL24" s="165">
        <f t="shared" si="41"/>
        <v>0.071279823269514</v>
      </c>
      <c r="AM24" s="165">
        <f t="shared" si="42"/>
        <v>0.071279823269514</v>
      </c>
      <c r="AN24" s="165">
        <f t="shared" si="43"/>
        <v>0.09</v>
      </c>
      <c r="AO24" s="225">
        <f t="shared" si="44"/>
        <v>18.33</v>
      </c>
      <c r="AP24" s="215"/>
      <c r="AQ24" s="215"/>
      <c r="AR24" s="225">
        <f t="shared" si="45"/>
        <v>0</v>
      </c>
      <c r="AS24" s="167">
        <f t="shared" si="46"/>
        <v>18.33</v>
      </c>
      <c r="AT24" s="176">
        <v>2</v>
      </c>
      <c r="AU24" s="176">
        <v>134</v>
      </c>
      <c r="AV24" s="176">
        <v>0</v>
      </c>
      <c r="AW24" s="176">
        <v>0</v>
      </c>
      <c r="AX24" s="176">
        <v>1</v>
      </c>
      <c r="AY24" s="176">
        <v>2</v>
      </c>
      <c r="AZ24" s="176">
        <v>0</v>
      </c>
      <c r="BA24" s="176">
        <v>1</v>
      </c>
      <c r="BB24" s="176">
        <v>0</v>
      </c>
      <c r="BC24" s="176">
        <v>0</v>
      </c>
      <c r="BD24" s="228">
        <f>ROUND(7.9/300.49,4)</f>
        <v>0.0263</v>
      </c>
      <c r="BE24" s="164">
        <f t="shared" si="47"/>
        <v>0.0263</v>
      </c>
      <c r="BF24" s="164">
        <f t="shared" si="62"/>
        <v>0.0279</v>
      </c>
      <c r="BG24" s="167">
        <f t="shared" si="48"/>
        <v>5.26</v>
      </c>
      <c r="BH24" s="232">
        <v>22</v>
      </c>
      <c r="BI24" s="233">
        <v>1017</v>
      </c>
      <c r="BJ24" s="164">
        <f t="shared" si="49"/>
        <v>0.0246029994429906</v>
      </c>
      <c r="BK24" s="164">
        <f t="shared" si="50"/>
        <v>0.0246029994429906</v>
      </c>
      <c r="BL24" s="164">
        <f t="shared" si="51"/>
        <v>0.0254981265793372</v>
      </c>
      <c r="BM24" s="167">
        <f t="shared" si="52"/>
        <v>4.94</v>
      </c>
      <c r="BN24" s="245">
        <v>11745</v>
      </c>
      <c r="BO24" s="245">
        <v>372</v>
      </c>
      <c r="BP24" s="245">
        <v>104</v>
      </c>
      <c r="BQ24" s="245">
        <v>20</v>
      </c>
      <c r="BR24" s="245">
        <v>1</v>
      </c>
      <c r="BS24" s="245"/>
      <c r="BT24" s="164">
        <f t="shared" si="53"/>
        <v>0.0670020009151472</v>
      </c>
      <c r="BU24" s="164">
        <f t="shared" si="54"/>
        <v>0.0670020009151472</v>
      </c>
      <c r="BV24" s="164">
        <f t="shared" si="55"/>
        <v>0.0681</v>
      </c>
      <c r="BW24" s="167">
        <f t="shared" si="56"/>
        <v>89.18</v>
      </c>
      <c r="BX24" s="215">
        <v>1</v>
      </c>
      <c r="BY24" s="215">
        <v>2</v>
      </c>
      <c r="BZ24" s="215">
        <v>6</v>
      </c>
      <c r="CA24" s="215"/>
      <c r="CB24" s="215"/>
      <c r="CC24" s="215">
        <v>1</v>
      </c>
      <c r="CD24" s="207">
        <f t="shared" si="73"/>
        <v>0.0467</v>
      </c>
      <c r="CE24" s="215">
        <f t="shared" si="69"/>
        <v>0.0467</v>
      </c>
      <c r="CF24" s="165">
        <f t="shared" si="72"/>
        <v>0.0472</v>
      </c>
      <c r="CG24" s="167">
        <f t="shared" si="67"/>
        <v>27.38</v>
      </c>
      <c r="CH24" s="190">
        <v>5000</v>
      </c>
      <c r="CI24" s="190"/>
      <c r="CJ24" s="166">
        <f t="shared" si="63"/>
        <v>0.1182</v>
      </c>
      <c r="CK24" s="166">
        <f t="shared" si="64"/>
        <v>0.1182</v>
      </c>
      <c r="CL24" s="166">
        <f t="shared" si="65"/>
        <v>0.123336985443731</v>
      </c>
      <c r="CM24" s="193">
        <f t="shared" si="57"/>
        <v>15.42</v>
      </c>
      <c r="CN24" s="261"/>
      <c r="CO24" s="193"/>
      <c r="CP24" s="193">
        <f t="shared" si="66"/>
        <v>42.8</v>
      </c>
      <c r="CQ24" s="262">
        <v>4</v>
      </c>
      <c r="CR24" s="262">
        <v>1</v>
      </c>
      <c r="CS24" s="262">
        <v>4</v>
      </c>
      <c r="CT24" s="176">
        <v>135</v>
      </c>
      <c r="CU24" s="166">
        <f t="shared" si="26"/>
        <v>0.0364573604738584</v>
      </c>
      <c r="CV24" s="166">
        <f t="shared" si="27"/>
        <v>0.0364573604738584</v>
      </c>
      <c r="CW24" s="164">
        <f t="shared" si="58"/>
        <v>0.0396</v>
      </c>
      <c r="CX24" s="272">
        <f t="shared" si="59"/>
        <v>30.06</v>
      </c>
      <c r="CY24" s="273">
        <v>1</v>
      </c>
      <c r="CZ24" s="274">
        <f>CY24/CY8</f>
        <v>0.166666666666667</v>
      </c>
      <c r="DA24" s="272">
        <v>3</v>
      </c>
      <c r="DB24" s="193">
        <v>15</v>
      </c>
      <c r="DC24" s="225"/>
      <c r="DD24" s="288">
        <f t="shared" si="60"/>
        <v>453.93</v>
      </c>
    </row>
    <row r="25" s="114" customFormat="1" ht="10" customHeight="1" spans="1:108">
      <c r="A25" s="161" t="s">
        <v>99</v>
      </c>
      <c r="B25" s="170">
        <v>1</v>
      </c>
      <c r="C25" s="163">
        <v>807540</v>
      </c>
      <c r="D25" s="164">
        <f t="shared" si="28"/>
        <v>0.0262</v>
      </c>
      <c r="E25" s="165">
        <f t="shared" si="29"/>
        <v>0.0262</v>
      </c>
      <c r="F25" s="166">
        <f t="shared" si="30"/>
        <v>0.0328259099166823</v>
      </c>
      <c r="G25" s="167">
        <f t="shared" si="31"/>
        <v>6.73</v>
      </c>
      <c r="H25" s="168">
        <v>1804</v>
      </c>
      <c r="I25" s="190">
        <v>35428</v>
      </c>
      <c r="J25" s="191">
        <f t="shared" si="61"/>
        <v>0.032</v>
      </c>
      <c r="K25" s="166">
        <f t="shared" si="32"/>
        <v>0.032</v>
      </c>
      <c r="L25" s="192">
        <f t="shared" si="33"/>
        <v>0.0416</v>
      </c>
      <c r="M25" s="193">
        <f t="shared" si="34"/>
        <v>113.94</v>
      </c>
      <c r="N25" s="163">
        <v>18</v>
      </c>
      <c r="O25" s="163"/>
      <c r="P25" s="163"/>
      <c r="Q25" s="163">
        <v>460</v>
      </c>
      <c r="R25" s="166">
        <f t="shared" si="23"/>
        <v>0.0588</v>
      </c>
      <c r="S25" s="166">
        <f t="shared" si="35"/>
        <v>0.0588</v>
      </c>
      <c r="T25" s="166">
        <f t="shared" si="36"/>
        <v>0.062453531598513</v>
      </c>
      <c r="U25" s="193">
        <f t="shared" si="24"/>
        <v>43.8</v>
      </c>
      <c r="V25" s="193"/>
      <c r="W25" s="193">
        <f t="shared" si="37"/>
        <v>43.8</v>
      </c>
      <c r="X25" s="168">
        <v>4419</v>
      </c>
      <c r="Y25" s="203">
        <v>7680</v>
      </c>
      <c r="Z25" s="203">
        <v>6</v>
      </c>
      <c r="AA25" s="203">
        <v>1</v>
      </c>
      <c r="AB25" s="191">
        <f t="shared" si="38"/>
        <v>0.0542</v>
      </c>
      <c r="AC25" s="204">
        <f t="shared" si="25"/>
        <v>0.0542</v>
      </c>
      <c r="AD25" s="166">
        <f t="shared" si="39"/>
        <v>0.0664</v>
      </c>
      <c r="AE25" s="193">
        <f t="shared" si="40"/>
        <v>88.27</v>
      </c>
      <c r="AF25" s="163">
        <v>240</v>
      </c>
      <c r="AG25" s="163">
        <v>277</v>
      </c>
      <c r="AH25" s="214">
        <v>5</v>
      </c>
      <c r="AI25" s="215"/>
      <c r="AJ25" s="215"/>
      <c r="AK25" s="215">
        <v>6</v>
      </c>
      <c r="AL25" s="165">
        <f t="shared" si="41"/>
        <v>0.0770903289150712</v>
      </c>
      <c r="AM25" s="165">
        <f t="shared" si="42"/>
        <v>0.0770903289150712</v>
      </c>
      <c r="AN25" s="165">
        <f t="shared" si="43"/>
        <v>0.0974</v>
      </c>
      <c r="AO25" s="225">
        <f t="shared" si="44"/>
        <v>19.84</v>
      </c>
      <c r="AP25" s="215"/>
      <c r="AQ25" s="215"/>
      <c r="AR25" s="225">
        <f t="shared" si="45"/>
        <v>0</v>
      </c>
      <c r="AS25" s="167">
        <f t="shared" si="46"/>
        <v>19.84</v>
      </c>
      <c r="AT25" s="176">
        <v>5</v>
      </c>
      <c r="AU25" s="176">
        <v>364</v>
      </c>
      <c r="AV25" s="176">
        <v>250</v>
      </c>
      <c r="AW25" s="176">
        <v>0</v>
      </c>
      <c r="AX25" s="176">
        <v>1</v>
      </c>
      <c r="AY25" s="176">
        <v>2</v>
      </c>
      <c r="AZ25" s="176">
        <v>0</v>
      </c>
      <c r="BA25" s="176">
        <v>1</v>
      </c>
      <c r="BB25" s="176">
        <v>0</v>
      </c>
      <c r="BC25" s="176">
        <v>0</v>
      </c>
      <c r="BD25" s="228">
        <f>ROUND(17.09/300.49,4)</f>
        <v>0.0569</v>
      </c>
      <c r="BE25" s="164">
        <f t="shared" si="47"/>
        <v>0.0569</v>
      </c>
      <c r="BF25" s="164">
        <f t="shared" si="62"/>
        <v>0.0603</v>
      </c>
      <c r="BG25" s="167">
        <f t="shared" si="48"/>
        <v>11.36</v>
      </c>
      <c r="BH25" s="232">
        <v>14</v>
      </c>
      <c r="BI25" s="233">
        <v>1324</v>
      </c>
      <c r="BJ25" s="164">
        <f t="shared" si="49"/>
        <v>0.0180274861360714</v>
      </c>
      <c r="BK25" s="164">
        <f t="shared" si="50"/>
        <v>0.0180274861360714</v>
      </c>
      <c r="BL25" s="164">
        <f t="shared" si="51"/>
        <v>0.0186833773853438</v>
      </c>
      <c r="BM25" s="167">
        <f t="shared" si="52"/>
        <v>3.62</v>
      </c>
      <c r="BN25" s="245">
        <v>16338</v>
      </c>
      <c r="BO25" s="245">
        <v>460</v>
      </c>
      <c r="BP25" s="245">
        <v>146</v>
      </c>
      <c r="BQ25" s="245">
        <v>17</v>
      </c>
      <c r="BR25" s="245">
        <v>1</v>
      </c>
      <c r="BS25" s="245"/>
      <c r="BT25" s="164">
        <f t="shared" si="53"/>
        <v>0.0736001892338356</v>
      </c>
      <c r="BU25" s="164">
        <f t="shared" si="54"/>
        <v>0.0736001892338356</v>
      </c>
      <c r="BV25" s="164">
        <f t="shared" si="55"/>
        <v>0.0748</v>
      </c>
      <c r="BW25" s="167">
        <f t="shared" si="56"/>
        <v>97.95</v>
      </c>
      <c r="BX25" s="215">
        <v>1</v>
      </c>
      <c r="BY25" s="215">
        <v>1</v>
      </c>
      <c r="BZ25" s="215">
        <v>6</v>
      </c>
      <c r="CA25" s="215">
        <v>1</v>
      </c>
      <c r="CB25" s="215"/>
      <c r="CC25" s="215"/>
      <c r="CD25" s="207">
        <f t="shared" si="74"/>
        <v>0.0517</v>
      </c>
      <c r="CE25" s="215">
        <f t="shared" si="69"/>
        <v>0.0517</v>
      </c>
      <c r="CF25" s="165">
        <f t="shared" si="72"/>
        <v>0.0522</v>
      </c>
      <c r="CG25" s="167">
        <f t="shared" si="67"/>
        <v>30.28</v>
      </c>
      <c r="CH25" s="190"/>
      <c r="CI25" s="190"/>
      <c r="CJ25" s="166"/>
      <c r="CK25" s="166"/>
      <c r="CL25" s="166"/>
      <c r="CM25" s="193">
        <f t="shared" si="57"/>
        <v>0</v>
      </c>
      <c r="CN25" s="261"/>
      <c r="CO25" s="193"/>
      <c r="CP25" s="193">
        <f t="shared" si="66"/>
        <v>30.28</v>
      </c>
      <c r="CQ25" s="262">
        <v>5</v>
      </c>
      <c r="CR25" s="262"/>
      <c r="CS25" s="262">
        <v>5</v>
      </c>
      <c r="CT25" s="176">
        <v>181</v>
      </c>
      <c r="CU25" s="166">
        <f t="shared" si="26"/>
        <v>0.0379197729077227</v>
      </c>
      <c r="CV25" s="166">
        <f t="shared" si="27"/>
        <v>0.0379197729077227</v>
      </c>
      <c r="CW25" s="164">
        <f t="shared" si="58"/>
        <v>0.0412</v>
      </c>
      <c r="CX25" s="272">
        <f t="shared" si="59"/>
        <v>31.28</v>
      </c>
      <c r="CY25" s="273">
        <v>1</v>
      </c>
      <c r="CZ25" s="274">
        <f>CY25/CY8</f>
        <v>0.166666666666667</v>
      </c>
      <c r="DA25" s="272">
        <v>3</v>
      </c>
      <c r="DB25" s="193">
        <v>15</v>
      </c>
      <c r="DC25" s="225"/>
      <c r="DD25" s="288">
        <f t="shared" si="60"/>
        <v>465.07</v>
      </c>
    </row>
    <row r="26" s="114" customFormat="1" ht="10" customHeight="1" spans="1:108">
      <c r="A26" s="161" t="s">
        <v>100</v>
      </c>
      <c r="B26" s="170">
        <v>1</v>
      </c>
      <c r="C26" s="163">
        <v>486722</v>
      </c>
      <c r="D26" s="164">
        <f t="shared" si="28"/>
        <v>0.0158</v>
      </c>
      <c r="E26" s="165">
        <f t="shared" si="29"/>
        <v>0.0158</v>
      </c>
      <c r="F26" s="166">
        <f t="shared" si="30"/>
        <v>0.0197957777360145</v>
      </c>
      <c r="G26" s="167">
        <f t="shared" si="31"/>
        <v>4.06</v>
      </c>
      <c r="H26" s="168">
        <v>376</v>
      </c>
      <c r="I26" s="190">
        <v>19930</v>
      </c>
      <c r="J26" s="191">
        <f t="shared" si="61"/>
        <v>0.0113</v>
      </c>
      <c r="K26" s="166">
        <f t="shared" si="32"/>
        <v>0.0113</v>
      </c>
      <c r="L26" s="192">
        <f t="shared" si="33"/>
        <v>0.0147</v>
      </c>
      <c r="M26" s="193">
        <f t="shared" si="34"/>
        <v>40.26</v>
      </c>
      <c r="N26" s="163">
        <v>1</v>
      </c>
      <c r="O26" s="163"/>
      <c r="P26" s="163"/>
      <c r="Q26" s="163">
        <v>150</v>
      </c>
      <c r="R26" s="166">
        <f t="shared" si="23"/>
        <v>0.005</v>
      </c>
      <c r="S26" s="166">
        <f t="shared" si="35"/>
        <v>0.005</v>
      </c>
      <c r="T26" s="166">
        <f t="shared" si="36"/>
        <v>0.00531067445565587</v>
      </c>
      <c r="U26" s="193">
        <f t="shared" si="24"/>
        <v>3.72</v>
      </c>
      <c r="V26" s="193">
        <v>100</v>
      </c>
      <c r="W26" s="193">
        <f t="shared" si="37"/>
        <v>103.72</v>
      </c>
      <c r="X26" s="168">
        <v>2620</v>
      </c>
      <c r="Y26" s="203">
        <v>4980</v>
      </c>
      <c r="Z26" s="203">
        <v>2</v>
      </c>
      <c r="AA26" s="203">
        <v>1</v>
      </c>
      <c r="AB26" s="191">
        <f t="shared" si="38"/>
        <v>0.0345</v>
      </c>
      <c r="AC26" s="204">
        <f t="shared" si="25"/>
        <v>0.0345</v>
      </c>
      <c r="AD26" s="166">
        <f t="shared" si="39"/>
        <v>0.0423</v>
      </c>
      <c r="AE26" s="193">
        <f t="shared" si="40"/>
        <v>56.23</v>
      </c>
      <c r="AF26" s="163">
        <v>90</v>
      </c>
      <c r="AG26" s="163">
        <v>1018</v>
      </c>
      <c r="AH26" s="214">
        <v>2</v>
      </c>
      <c r="AI26" s="215"/>
      <c r="AJ26" s="215"/>
      <c r="AK26" s="215"/>
      <c r="AL26" s="165">
        <f t="shared" si="41"/>
        <v>0.0198929798723613</v>
      </c>
      <c r="AM26" s="165">
        <f t="shared" si="42"/>
        <v>0.0198929798723613</v>
      </c>
      <c r="AN26" s="165">
        <f t="shared" si="43"/>
        <v>0.0251</v>
      </c>
      <c r="AO26" s="225">
        <f t="shared" si="44"/>
        <v>5.11</v>
      </c>
      <c r="AP26" s="215"/>
      <c r="AQ26" s="215"/>
      <c r="AR26" s="225">
        <f t="shared" si="45"/>
        <v>0</v>
      </c>
      <c r="AS26" s="167">
        <f t="shared" si="46"/>
        <v>5.11</v>
      </c>
      <c r="AT26" s="176">
        <v>2</v>
      </c>
      <c r="AU26" s="176">
        <v>57</v>
      </c>
      <c r="AV26" s="176">
        <v>0</v>
      </c>
      <c r="AW26" s="176">
        <v>0</v>
      </c>
      <c r="AX26" s="176">
        <v>1</v>
      </c>
      <c r="AY26" s="176">
        <v>1</v>
      </c>
      <c r="AZ26" s="176">
        <v>0</v>
      </c>
      <c r="BA26" s="176">
        <v>1</v>
      </c>
      <c r="BB26" s="176">
        <v>0</v>
      </c>
      <c r="BC26" s="176">
        <v>0</v>
      </c>
      <c r="BD26" s="228">
        <f>ROUND(7.17/300.49,4)</f>
        <v>0.0239</v>
      </c>
      <c r="BE26" s="164">
        <f t="shared" si="47"/>
        <v>0.0239</v>
      </c>
      <c r="BF26" s="164">
        <f t="shared" si="62"/>
        <v>0.0253</v>
      </c>
      <c r="BG26" s="167">
        <f t="shared" si="48"/>
        <v>4.77</v>
      </c>
      <c r="BH26" s="232">
        <v>4</v>
      </c>
      <c r="BI26" s="233">
        <v>879</v>
      </c>
      <c r="BJ26" s="164">
        <f t="shared" si="49"/>
        <v>0.0069048144528171</v>
      </c>
      <c r="BK26" s="164">
        <f t="shared" si="50"/>
        <v>0.0069048144528171</v>
      </c>
      <c r="BL26" s="164">
        <f t="shared" si="51"/>
        <v>0.007156031252723</v>
      </c>
      <c r="BM26" s="167">
        <f t="shared" si="52"/>
        <v>1.39</v>
      </c>
      <c r="BN26" s="245">
        <v>8029</v>
      </c>
      <c r="BO26" s="245">
        <v>316</v>
      </c>
      <c r="BP26" s="245">
        <v>66</v>
      </c>
      <c r="BQ26" s="245">
        <v>0</v>
      </c>
      <c r="BR26" s="245">
        <v>1</v>
      </c>
      <c r="BS26" s="245"/>
      <c r="BT26" s="164">
        <f t="shared" si="53"/>
        <v>0.0353695178414934</v>
      </c>
      <c r="BU26" s="164">
        <f t="shared" si="54"/>
        <v>0.0353695178414934</v>
      </c>
      <c r="BV26" s="164">
        <f t="shared" si="55"/>
        <v>0.036</v>
      </c>
      <c r="BW26" s="167">
        <f t="shared" si="56"/>
        <v>47.14</v>
      </c>
      <c r="BX26" s="215">
        <v>1</v>
      </c>
      <c r="BY26" s="215"/>
      <c r="BZ26" s="215">
        <v>6</v>
      </c>
      <c r="CA26" s="215"/>
      <c r="CB26" s="215"/>
      <c r="CC26" s="215"/>
      <c r="CD26" s="207">
        <f t="shared" si="74"/>
        <v>0.0362</v>
      </c>
      <c r="CE26" s="215">
        <f t="shared" si="69"/>
        <v>0.0362</v>
      </c>
      <c r="CF26" s="165">
        <f t="shared" si="72"/>
        <v>0.0366</v>
      </c>
      <c r="CG26" s="167">
        <f t="shared" si="67"/>
        <v>21.23</v>
      </c>
      <c r="CH26" s="190">
        <v>2000</v>
      </c>
      <c r="CI26" s="190"/>
      <c r="CJ26" s="166">
        <f t="shared" si="63"/>
        <v>0.0473</v>
      </c>
      <c r="CK26" s="166">
        <f t="shared" si="64"/>
        <v>0.0473</v>
      </c>
      <c r="CL26" s="166">
        <f t="shared" si="65"/>
        <v>0.0493556633797673</v>
      </c>
      <c r="CM26" s="193">
        <f t="shared" si="57"/>
        <v>6.17</v>
      </c>
      <c r="CN26" s="261"/>
      <c r="CO26" s="193"/>
      <c r="CP26" s="193">
        <f t="shared" si="66"/>
        <v>27.4</v>
      </c>
      <c r="CQ26" s="262">
        <v>2</v>
      </c>
      <c r="CR26" s="262"/>
      <c r="CS26" s="262">
        <v>2</v>
      </c>
      <c r="CT26" s="176">
        <v>88</v>
      </c>
      <c r="CU26" s="166">
        <f t="shared" si="26"/>
        <v>0.0181581073769858</v>
      </c>
      <c r="CV26" s="166">
        <f t="shared" si="27"/>
        <v>0.0181581073769858</v>
      </c>
      <c r="CW26" s="164">
        <f t="shared" si="58"/>
        <v>0.0197</v>
      </c>
      <c r="CX26" s="272">
        <f t="shared" si="59"/>
        <v>14.96</v>
      </c>
      <c r="CY26" s="273"/>
      <c r="CZ26" s="274"/>
      <c r="DA26" s="272"/>
      <c r="DB26" s="193">
        <v>15</v>
      </c>
      <c r="DC26" s="225"/>
      <c r="DD26" s="288">
        <f t="shared" si="60"/>
        <v>320.04</v>
      </c>
    </row>
    <row r="27" s="114" customFormat="1" ht="10" customHeight="1" spans="1:108">
      <c r="A27" s="161" t="s">
        <v>101</v>
      </c>
      <c r="B27" s="170">
        <v>1</v>
      </c>
      <c r="C27" s="163">
        <v>628762</v>
      </c>
      <c r="D27" s="164">
        <f t="shared" si="28"/>
        <v>0.0204</v>
      </c>
      <c r="E27" s="165">
        <f t="shared" si="29"/>
        <v>0.0204</v>
      </c>
      <c r="F27" s="166">
        <f t="shared" si="30"/>
        <v>0.0255591054313099</v>
      </c>
      <c r="G27" s="167">
        <f t="shared" si="31"/>
        <v>5.24</v>
      </c>
      <c r="H27" s="168">
        <v>613</v>
      </c>
      <c r="I27" s="190">
        <v>22832</v>
      </c>
      <c r="J27" s="191">
        <f t="shared" si="61"/>
        <v>0.0149</v>
      </c>
      <c r="K27" s="166">
        <f t="shared" si="32"/>
        <v>0.0149</v>
      </c>
      <c r="L27" s="192">
        <f t="shared" si="33"/>
        <v>0.0194</v>
      </c>
      <c r="M27" s="193">
        <f t="shared" si="34"/>
        <v>53.13</v>
      </c>
      <c r="N27" s="163">
        <v>1</v>
      </c>
      <c r="O27" s="163"/>
      <c r="P27" s="163"/>
      <c r="Q27" s="163">
        <v>490</v>
      </c>
      <c r="R27" s="166">
        <f t="shared" si="23"/>
        <v>0.0098</v>
      </c>
      <c r="S27" s="166">
        <f t="shared" si="35"/>
        <v>0.0098</v>
      </c>
      <c r="T27" s="166">
        <f t="shared" si="36"/>
        <v>0.0104089219330855</v>
      </c>
      <c r="U27" s="193">
        <f t="shared" si="24"/>
        <v>7.3</v>
      </c>
      <c r="V27" s="193"/>
      <c r="W27" s="193">
        <f t="shared" si="37"/>
        <v>7.3</v>
      </c>
      <c r="X27" s="168">
        <v>5021</v>
      </c>
      <c r="Y27" s="203">
        <v>4760</v>
      </c>
      <c r="Z27" s="203">
        <v>2</v>
      </c>
      <c r="AA27" s="203">
        <v>1</v>
      </c>
      <c r="AB27" s="191">
        <f t="shared" si="38"/>
        <v>0.0398</v>
      </c>
      <c r="AC27" s="204">
        <f t="shared" si="25"/>
        <v>0.0398</v>
      </c>
      <c r="AD27" s="166">
        <f t="shared" si="39"/>
        <v>0.0488</v>
      </c>
      <c r="AE27" s="193">
        <f t="shared" si="40"/>
        <v>64.88</v>
      </c>
      <c r="AF27" s="163">
        <v>150</v>
      </c>
      <c r="AG27" s="163">
        <v>1627</v>
      </c>
      <c r="AH27" s="214">
        <v>2</v>
      </c>
      <c r="AI27" s="215"/>
      <c r="AJ27" s="215"/>
      <c r="AK27" s="215"/>
      <c r="AL27" s="165">
        <f t="shared" si="41"/>
        <v>0.0315085910652921</v>
      </c>
      <c r="AM27" s="165">
        <f t="shared" si="42"/>
        <v>0.0315085910652921</v>
      </c>
      <c r="AN27" s="165">
        <f>ROUND(AM27/SUM(AM$9:AM$28,AM$30:AM$64),4)+0.0001</f>
        <v>0.0399</v>
      </c>
      <c r="AO27" s="225">
        <f>+ROUND(203.7*AN27,2)+0.01</f>
        <v>8.14</v>
      </c>
      <c r="AP27" s="215"/>
      <c r="AQ27" s="215"/>
      <c r="AR27" s="225">
        <f t="shared" si="45"/>
        <v>0</v>
      </c>
      <c r="AS27" s="167">
        <f t="shared" si="46"/>
        <v>8.14</v>
      </c>
      <c r="AT27" s="176">
        <v>2</v>
      </c>
      <c r="AU27" s="176">
        <v>190</v>
      </c>
      <c r="AV27" s="176">
        <v>500</v>
      </c>
      <c r="AW27" s="176">
        <v>0</v>
      </c>
      <c r="AX27" s="176">
        <v>1</v>
      </c>
      <c r="AY27" s="176">
        <v>3</v>
      </c>
      <c r="AZ27" s="176">
        <v>0</v>
      </c>
      <c r="BA27" s="176">
        <v>1</v>
      </c>
      <c r="BB27" s="176">
        <v>0</v>
      </c>
      <c r="BC27" s="176" t="s">
        <v>291</v>
      </c>
      <c r="BD27" s="228">
        <f>ROUND(13.57/300.49,4)</f>
        <v>0.0452</v>
      </c>
      <c r="BE27" s="164">
        <f t="shared" si="47"/>
        <v>0.0452</v>
      </c>
      <c r="BF27" s="164">
        <f t="shared" si="62"/>
        <v>0.0479</v>
      </c>
      <c r="BG27" s="167">
        <f t="shared" si="48"/>
        <v>9.03</v>
      </c>
      <c r="BH27" s="232">
        <v>15</v>
      </c>
      <c r="BI27" s="233">
        <v>995</v>
      </c>
      <c r="BJ27" s="164">
        <f t="shared" si="49"/>
        <v>0.0178313067300046</v>
      </c>
      <c r="BK27" s="164">
        <f t="shared" si="50"/>
        <v>0.0178313067300046</v>
      </c>
      <c r="BL27" s="164">
        <f t="shared" si="51"/>
        <v>0.0184800604141857</v>
      </c>
      <c r="BM27" s="167">
        <f t="shared" si="52"/>
        <v>3.58</v>
      </c>
      <c r="BN27" s="245">
        <v>10352</v>
      </c>
      <c r="BO27" s="245">
        <v>308</v>
      </c>
      <c r="BP27" s="245">
        <v>66</v>
      </c>
      <c r="BQ27" s="245">
        <v>0</v>
      </c>
      <c r="BR27" s="245">
        <v>1</v>
      </c>
      <c r="BS27" s="245"/>
      <c r="BT27" s="164">
        <f t="shared" si="53"/>
        <v>0.0368178314112656</v>
      </c>
      <c r="BU27" s="164">
        <f t="shared" si="54"/>
        <v>0.0368178314112656</v>
      </c>
      <c r="BV27" s="164">
        <f t="shared" si="55"/>
        <v>0.0374</v>
      </c>
      <c r="BW27" s="167">
        <f t="shared" si="56"/>
        <v>48.98</v>
      </c>
      <c r="BX27" s="215">
        <v>1</v>
      </c>
      <c r="BY27" s="215">
        <v>2</v>
      </c>
      <c r="BZ27" s="215">
        <v>6</v>
      </c>
      <c r="CA27" s="215"/>
      <c r="CB27" s="215"/>
      <c r="CC27" s="215">
        <v>1</v>
      </c>
      <c r="CD27" s="207">
        <f t="shared" si="73"/>
        <v>0.0467</v>
      </c>
      <c r="CE27" s="215">
        <f t="shared" si="69"/>
        <v>0.0467</v>
      </c>
      <c r="CF27" s="165">
        <f t="shared" si="72"/>
        <v>0.0472</v>
      </c>
      <c r="CG27" s="167">
        <f t="shared" si="67"/>
        <v>27.38</v>
      </c>
      <c r="CH27" s="190">
        <v>500</v>
      </c>
      <c r="CI27" s="190"/>
      <c r="CJ27" s="166">
        <f t="shared" si="63"/>
        <v>0.0118</v>
      </c>
      <c r="CK27" s="166">
        <f t="shared" si="64"/>
        <v>0.0118</v>
      </c>
      <c r="CL27" s="166">
        <f t="shared" si="65"/>
        <v>0.0123128293420984</v>
      </c>
      <c r="CM27" s="193">
        <f t="shared" si="57"/>
        <v>1.54</v>
      </c>
      <c r="CN27" s="261"/>
      <c r="CO27" s="193"/>
      <c r="CP27" s="193">
        <f t="shared" si="66"/>
        <v>28.92</v>
      </c>
      <c r="CQ27" s="262">
        <v>2</v>
      </c>
      <c r="CR27" s="262"/>
      <c r="CS27" s="262">
        <v>2</v>
      </c>
      <c r="CT27" s="176">
        <v>72</v>
      </c>
      <c r="CU27" s="166">
        <f t="shared" si="26"/>
        <v>0.0150912374140148</v>
      </c>
      <c r="CV27" s="166">
        <f t="shared" si="27"/>
        <v>0.0150912374140148</v>
      </c>
      <c r="CW27" s="164">
        <f t="shared" si="58"/>
        <v>0.0164</v>
      </c>
      <c r="CX27" s="272">
        <f t="shared" si="59"/>
        <v>12.45</v>
      </c>
      <c r="CY27" s="273"/>
      <c r="CZ27" s="274"/>
      <c r="DA27" s="272"/>
      <c r="DB27" s="193"/>
      <c r="DC27" s="272">
        <v>3</v>
      </c>
      <c r="DD27" s="288">
        <f t="shared" si="60"/>
        <v>244.65</v>
      </c>
    </row>
    <row r="28" s="114" customFormat="1" ht="10" customHeight="1" spans="1:108">
      <c r="A28" s="161" t="s">
        <v>102</v>
      </c>
      <c r="B28" s="170">
        <v>1</v>
      </c>
      <c r="C28" s="163">
        <v>322130</v>
      </c>
      <c r="D28" s="164">
        <f t="shared" si="28"/>
        <v>0.0105</v>
      </c>
      <c r="E28" s="165">
        <f t="shared" si="29"/>
        <v>0.0105</v>
      </c>
      <c r="F28" s="166">
        <f t="shared" si="30"/>
        <v>0.0131554219131742</v>
      </c>
      <c r="G28" s="167">
        <f t="shared" si="31"/>
        <v>2.7</v>
      </c>
      <c r="H28" s="168">
        <v>987</v>
      </c>
      <c r="I28" s="190">
        <v>14844</v>
      </c>
      <c r="J28" s="191">
        <f t="shared" si="61"/>
        <v>0.0158</v>
      </c>
      <c r="K28" s="166">
        <f t="shared" si="32"/>
        <v>0.0158</v>
      </c>
      <c r="L28" s="192">
        <f t="shared" si="33"/>
        <v>0.0205</v>
      </c>
      <c r="M28" s="193">
        <f t="shared" si="34"/>
        <v>56.15</v>
      </c>
      <c r="N28" s="163">
        <v>3</v>
      </c>
      <c r="O28" s="163"/>
      <c r="P28" s="163"/>
      <c r="Q28" s="163">
        <v>131</v>
      </c>
      <c r="R28" s="166">
        <f t="shared" si="23"/>
        <v>0.0106</v>
      </c>
      <c r="S28" s="166">
        <f t="shared" si="35"/>
        <v>0.0106</v>
      </c>
      <c r="T28" s="166">
        <f t="shared" si="36"/>
        <v>0.0112586298459904</v>
      </c>
      <c r="U28" s="193">
        <f t="shared" si="24"/>
        <v>7.9</v>
      </c>
      <c r="V28" s="193">
        <v>100</v>
      </c>
      <c r="W28" s="193">
        <f t="shared" si="37"/>
        <v>107.9</v>
      </c>
      <c r="X28" s="168">
        <v>4073</v>
      </c>
      <c r="Y28" s="203">
        <v>4270</v>
      </c>
      <c r="Z28" s="203">
        <v>4</v>
      </c>
      <c r="AA28" s="203">
        <v>1</v>
      </c>
      <c r="AB28" s="191">
        <f t="shared" si="38"/>
        <v>0.0345</v>
      </c>
      <c r="AC28" s="204">
        <f t="shared" si="25"/>
        <v>0.0345</v>
      </c>
      <c r="AD28" s="166">
        <f t="shared" si="39"/>
        <v>0.0423</v>
      </c>
      <c r="AE28" s="193">
        <f t="shared" si="40"/>
        <v>56.23</v>
      </c>
      <c r="AF28" s="163">
        <v>150</v>
      </c>
      <c r="AG28" s="163">
        <v>965</v>
      </c>
      <c r="AH28" s="214">
        <v>3</v>
      </c>
      <c r="AI28" s="215"/>
      <c r="AJ28" s="215"/>
      <c r="AK28" s="215"/>
      <c r="AL28" s="165">
        <f t="shared" si="41"/>
        <v>0.0225748649975454</v>
      </c>
      <c r="AM28" s="165">
        <f t="shared" si="42"/>
        <v>0.0225748649975454</v>
      </c>
      <c r="AN28" s="165">
        <f>ROUND(AM28/SUM(AM$9:AM$28,AM$30:AM$64),4)</f>
        <v>0.0285</v>
      </c>
      <c r="AO28" s="225">
        <f t="shared" si="44"/>
        <v>5.81</v>
      </c>
      <c r="AP28" s="215"/>
      <c r="AQ28" s="215"/>
      <c r="AR28" s="225">
        <f t="shared" si="45"/>
        <v>0</v>
      </c>
      <c r="AS28" s="167">
        <f t="shared" si="46"/>
        <v>5.81</v>
      </c>
      <c r="AT28" s="176">
        <v>2</v>
      </c>
      <c r="AU28" s="176">
        <v>119</v>
      </c>
      <c r="AV28" s="176">
        <v>500</v>
      </c>
      <c r="AW28" s="176">
        <v>100</v>
      </c>
      <c r="AX28" s="176">
        <v>1</v>
      </c>
      <c r="AY28" s="176">
        <v>1</v>
      </c>
      <c r="AZ28" s="176">
        <v>1</v>
      </c>
      <c r="BA28" s="176">
        <v>0</v>
      </c>
      <c r="BB28" s="176">
        <v>1</v>
      </c>
      <c r="BC28" s="176">
        <v>0</v>
      </c>
      <c r="BD28" s="228">
        <f>ROUND(27.86/300.49,4)</f>
        <v>0.0927</v>
      </c>
      <c r="BE28" s="164">
        <f t="shared" si="47"/>
        <v>0.0927</v>
      </c>
      <c r="BF28" s="164">
        <f t="shared" si="62"/>
        <v>0.0982</v>
      </c>
      <c r="BG28" s="167">
        <f t="shared" si="48"/>
        <v>18.51</v>
      </c>
      <c r="BH28" s="232">
        <v>4</v>
      </c>
      <c r="BI28" s="234">
        <v>519</v>
      </c>
      <c r="BJ28" s="164">
        <f t="shared" si="49"/>
        <v>0.00564366112810165</v>
      </c>
      <c r="BK28" s="164">
        <f t="shared" si="50"/>
        <v>0.00564366112810165</v>
      </c>
      <c r="BL28" s="164">
        <f t="shared" si="51"/>
        <v>0.00584899358099277</v>
      </c>
      <c r="BM28" s="167">
        <f t="shared" si="52"/>
        <v>1.13</v>
      </c>
      <c r="BN28" s="245">
        <v>8291</v>
      </c>
      <c r="BO28" s="245">
        <v>320</v>
      </c>
      <c r="BP28" s="245">
        <v>70</v>
      </c>
      <c r="BQ28" s="245">
        <v>0</v>
      </c>
      <c r="BR28" s="245"/>
      <c r="BS28" s="245"/>
      <c r="BT28" s="164">
        <f t="shared" si="53"/>
        <v>0.0206132960035985</v>
      </c>
      <c r="BU28" s="164">
        <f t="shared" si="54"/>
        <v>0.0206132960035985</v>
      </c>
      <c r="BV28" s="164">
        <f t="shared" si="55"/>
        <v>0.021</v>
      </c>
      <c r="BW28" s="167">
        <f t="shared" si="56"/>
        <v>27.5</v>
      </c>
      <c r="BX28" s="215">
        <v>1</v>
      </c>
      <c r="BY28" s="215">
        <v>1</v>
      </c>
      <c r="BZ28" s="215">
        <v>6</v>
      </c>
      <c r="CA28" s="215"/>
      <c r="CB28" s="215"/>
      <c r="CC28" s="215">
        <v>1</v>
      </c>
      <c r="CD28" s="207">
        <f>ROUND((BX28*15+(BY28-1)*1+1*5+BZ28*1+CA28*8+CB28*20)/580,4)</f>
        <v>0.0448</v>
      </c>
      <c r="CE28" s="215">
        <f t="shared" si="69"/>
        <v>0.0448</v>
      </c>
      <c r="CF28" s="165">
        <f t="shared" si="72"/>
        <v>0.0453</v>
      </c>
      <c r="CG28" s="167">
        <f t="shared" si="67"/>
        <v>26.27</v>
      </c>
      <c r="CH28" s="190">
        <v>500</v>
      </c>
      <c r="CI28" s="190">
        <v>1000</v>
      </c>
      <c r="CJ28" s="166">
        <f t="shared" si="63"/>
        <v>0.0321</v>
      </c>
      <c r="CK28" s="166">
        <f t="shared" si="64"/>
        <v>0.0321</v>
      </c>
      <c r="CL28" s="166">
        <f t="shared" si="65"/>
        <v>0.0334950696509626</v>
      </c>
      <c r="CM28" s="193">
        <f t="shared" si="57"/>
        <v>4.19</v>
      </c>
      <c r="CN28" s="261"/>
      <c r="CO28" s="193"/>
      <c r="CP28" s="193">
        <f t="shared" si="66"/>
        <v>30.46</v>
      </c>
      <c r="CQ28" s="262">
        <v>3</v>
      </c>
      <c r="CR28" s="262"/>
      <c r="CS28" s="262">
        <v>3</v>
      </c>
      <c r="CT28" s="176">
        <v>115</v>
      </c>
      <c r="CU28" s="166">
        <f t="shared" si="26"/>
        <v>0.023978611729822</v>
      </c>
      <c r="CV28" s="166">
        <f t="shared" si="27"/>
        <v>0.023978611729822</v>
      </c>
      <c r="CW28" s="164">
        <f t="shared" si="58"/>
        <v>0.026</v>
      </c>
      <c r="CX28" s="272">
        <f t="shared" si="59"/>
        <v>19.74</v>
      </c>
      <c r="CY28" s="273"/>
      <c r="CZ28" s="274"/>
      <c r="DA28" s="272"/>
      <c r="DB28" s="193">
        <v>15</v>
      </c>
      <c r="DC28" s="225"/>
      <c r="DD28" s="288">
        <f t="shared" si="60"/>
        <v>341.13</v>
      </c>
    </row>
    <row r="29" s="115" customFormat="1" ht="10" customHeight="1" spans="1:108">
      <c r="A29" s="171" t="s">
        <v>293</v>
      </c>
      <c r="B29" s="172"/>
      <c r="C29" s="173">
        <f t="shared" ref="C29:H29" si="75">SUM(C30:C64)</f>
        <v>7900869</v>
      </c>
      <c r="D29" s="174">
        <f t="shared" si="75"/>
        <v>0.2567</v>
      </c>
      <c r="E29" s="174"/>
      <c r="F29" s="174">
        <f t="shared" si="75"/>
        <v>0.321618743343983</v>
      </c>
      <c r="G29" s="175">
        <f t="shared" si="75"/>
        <v>65.89</v>
      </c>
      <c r="H29" s="156">
        <f t="shared" si="75"/>
        <v>9542</v>
      </c>
      <c r="I29" s="156">
        <v>344972</v>
      </c>
      <c r="J29" s="194">
        <f t="shared" ref="J29:T29" si="76">SUM(J30:J64)</f>
        <v>0.2278</v>
      </c>
      <c r="K29" s="195"/>
      <c r="L29" s="196">
        <f t="shared" si="76"/>
        <v>0.2957</v>
      </c>
      <c r="M29" s="189">
        <f t="shared" si="76"/>
        <v>809.92</v>
      </c>
      <c r="N29" s="156">
        <f t="shared" si="76"/>
        <v>0</v>
      </c>
      <c r="O29" s="156">
        <f t="shared" si="76"/>
        <v>1</v>
      </c>
      <c r="P29" s="156">
        <f t="shared" si="76"/>
        <v>0</v>
      </c>
      <c r="Q29" s="156">
        <f t="shared" si="76"/>
        <v>4299</v>
      </c>
      <c r="R29" s="195">
        <f t="shared" si="76"/>
        <v>0.0964</v>
      </c>
      <c r="S29" s="195"/>
      <c r="T29" s="196">
        <f>SUM(T30:T64)</f>
        <v>0.102389803505045</v>
      </c>
      <c r="U29" s="189">
        <f>SUM(U30:U64)</f>
        <v>71.79</v>
      </c>
      <c r="V29" s="189">
        <f>SUM(V30:V64)</f>
        <v>0</v>
      </c>
      <c r="W29" s="189">
        <f>SUM(W30:W64)</f>
        <v>71.79</v>
      </c>
      <c r="X29" s="200">
        <f t="shared" ref="X29:AE29" si="77">SUM(X30:X64)</f>
        <v>1270</v>
      </c>
      <c r="Y29" s="202">
        <f t="shared" si="77"/>
        <v>400</v>
      </c>
      <c r="Z29" s="202">
        <f t="shared" si="77"/>
        <v>35</v>
      </c>
      <c r="AA29" s="202">
        <f t="shared" si="77"/>
        <v>0</v>
      </c>
      <c r="AB29" s="194">
        <f t="shared" si="77"/>
        <v>0.0091</v>
      </c>
      <c r="AC29" s="194">
        <f t="shared" si="77"/>
        <v>0.0091</v>
      </c>
      <c r="AD29" s="194">
        <f t="shared" si="77"/>
        <v>0.0105</v>
      </c>
      <c r="AE29" s="205">
        <f t="shared" si="77"/>
        <v>13.86</v>
      </c>
      <c r="AF29" s="172"/>
      <c r="AG29" s="172"/>
      <c r="AH29" s="216">
        <f>SUM(AH30:AH64)</f>
        <v>35</v>
      </c>
      <c r="AI29" s="155">
        <f>SUM(AI30:AI64)</f>
        <v>1</v>
      </c>
      <c r="AJ29" s="155"/>
      <c r="AK29" s="155">
        <f>SUM(AK30:AK64)</f>
        <v>6.5</v>
      </c>
      <c r="AL29" s="157">
        <f>SUM(AL30:AL64)</f>
        <v>0.0908198330878743</v>
      </c>
      <c r="AM29" s="157"/>
      <c r="AN29" s="187">
        <f>SUM(AN30:AN64)</f>
        <v>0.114</v>
      </c>
      <c r="AO29" s="189">
        <f>SUM(AO30:AO64)</f>
        <v>23.16</v>
      </c>
      <c r="AP29" s="155">
        <v>10</v>
      </c>
      <c r="AQ29" s="155">
        <f>ROUND((AP29*5.026)/95.5,4)</f>
        <v>0.5263</v>
      </c>
      <c r="AR29" s="158">
        <f>SUM(AR30:AR64)</f>
        <v>50.26</v>
      </c>
      <c r="AS29" s="158">
        <f>SUM(AS30:AS64)</f>
        <v>73.42</v>
      </c>
      <c r="AT29" s="216">
        <f>SUM(AT30:AT64)</f>
        <v>35</v>
      </c>
      <c r="AU29" s="216">
        <f t="shared" ref="AU29:BD29" si="78">SUM(AU30:AU64)</f>
        <v>0</v>
      </c>
      <c r="AV29" s="216">
        <f t="shared" si="78"/>
        <v>500</v>
      </c>
      <c r="AW29" s="216">
        <f t="shared" si="78"/>
        <v>0</v>
      </c>
      <c r="AX29" s="216">
        <f t="shared" si="78"/>
        <v>0</v>
      </c>
      <c r="AY29" s="216">
        <f t="shared" si="78"/>
        <v>10</v>
      </c>
      <c r="AZ29" s="216">
        <f t="shared" si="78"/>
        <v>0</v>
      </c>
      <c r="BA29" s="216">
        <f t="shared" si="78"/>
        <v>0</v>
      </c>
      <c r="BB29" s="216">
        <f t="shared" si="78"/>
        <v>1</v>
      </c>
      <c r="BC29" s="216">
        <f t="shared" si="78"/>
        <v>0</v>
      </c>
      <c r="BD29" s="157">
        <f t="shared" si="78"/>
        <v>0.2771</v>
      </c>
      <c r="BE29" s="157"/>
      <c r="BF29" s="157">
        <f>SUM(BF30:BF64)</f>
        <v>0.2937</v>
      </c>
      <c r="BG29" s="158">
        <f>SUM(BG30:BG64)</f>
        <v>55.41</v>
      </c>
      <c r="BH29" s="235">
        <f t="shared" ref="BH29:BM29" si="79">SUM(BH30:BH64)</f>
        <v>464</v>
      </c>
      <c r="BI29" s="235">
        <f t="shared" si="79"/>
        <v>13303</v>
      </c>
      <c r="BJ29" s="236">
        <f t="shared" si="79"/>
        <v>0.490360935075126</v>
      </c>
      <c r="BK29" s="236"/>
      <c r="BL29" s="236">
        <f t="shared" si="79"/>
        <v>0.508201661390107</v>
      </c>
      <c r="BM29" s="246">
        <f t="shared" si="79"/>
        <v>98.5</v>
      </c>
      <c r="BN29" s="247"/>
      <c r="BO29" s="247"/>
      <c r="BP29" s="247"/>
      <c r="BQ29" s="247"/>
      <c r="BR29" s="247"/>
      <c r="BS29" s="247"/>
      <c r="BT29" s="174">
        <f t="shared" ref="BT29:CE29" si="80">SUM(BT30:BT64)</f>
        <v>0.21701853560931</v>
      </c>
      <c r="BU29" s="174"/>
      <c r="BV29" s="174">
        <f t="shared" si="80"/>
        <v>0.2208</v>
      </c>
      <c r="BW29" s="175">
        <f t="shared" si="80"/>
        <v>289.14</v>
      </c>
      <c r="BX29" s="155">
        <f t="shared" si="80"/>
        <v>5</v>
      </c>
      <c r="BY29" s="155">
        <f t="shared" si="80"/>
        <v>9</v>
      </c>
      <c r="BZ29" s="155">
        <f t="shared" si="80"/>
        <v>35</v>
      </c>
      <c r="CA29" s="155">
        <f t="shared" si="80"/>
        <v>0</v>
      </c>
      <c r="CB29" s="155">
        <f t="shared" si="80"/>
        <v>0</v>
      </c>
      <c r="CC29" s="155"/>
      <c r="CD29" s="172">
        <f t="shared" ref="CD29:CJ29" si="81">SUM(CD30:CD64)</f>
        <v>0.2358</v>
      </c>
      <c r="CE29" s="172"/>
      <c r="CF29" s="157">
        <f t="shared" si="81"/>
        <v>0.2379</v>
      </c>
      <c r="CG29" s="158">
        <f t="shared" si="81"/>
        <v>138.08</v>
      </c>
      <c r="CH29" s="256">
        <f t="shared" si="81"/>
        <v>6500</v>
      </c>
      <c r="CI29" s="256">
        <f t="shared" si="81"/>
        <v>2000</v>
      </c>
      <c r="CJ29" s="195">
        <f t="shared" si="81"/>
        <v>0.1942</v>
      </c>
      <c r="CK29" s="195"/>
      <c r="CL29" s="196">
        <f t="shared" ref="CL29:CS29" si="82">SUM(CL30:CL64)</f>
        <v>0.202639954087755</v>
      </c>
      <c r="CM29" s="189">
        <f t="shared" si="82"/>
        <v>25.33</v>
      </c>
      <c r="CN29" s="159">
        <v>0</v>
      </c>
      <c r="CO29" s="189">
        <f t="shared" si="82"/>
        <v>0</v>
      </c>
      <c r="CP29" s="189">
        <f t="shared" si="82"/>
        <v>163.41</v>
      </c>
      <c r="CQ29" s="256">
        <f t="shared" si="82"/>
        <v>35</v>
      </c>
      <c r="CR29" s="256">
        <f t="shared" si="82"/>
        <v>3</v>
      </c>
      <c r="CS29" s="256">
        <f t="shared" si="82"/>
        <v>35</v>
      </c>
      <c r="CT29" s="200">
        <v>1804</v>
      </c>
      <c r="CU29" s="187">
        <f t="shared" ref="CU29:CX29" si="83">SUM(CU30:CU64)</f>
        <v>0.392370233486274</v>
      </c>
      <c r="CV29" s="187"/>
      <c r="CW29" s="157">
        <f t="shared" si="83"/>
        <v>0.4263</v>
      </c>
      <c r="CX29" s="270">
        <f t="shared" si="83"/>
        <v>323.63</v>
      </c>
      <c r="CY29" s="275"/>
      <c r="CZ29" s="276"/>
      <c r="DA29" s="270"/>
      <c r="DB29" s="175">
        <f>SUM(DB30:DB64)</f>
        <v>0</v>
      </c>
      <c r="DC29" s="175">
        <f>SUM(DC30:DC64)</f>
        <v>22</v>
      </c>
      <c r="DD29" s="175">
        <f>SUM(DD30:DD64)</f>
        <v>1986.97</v>
      </c>
    </row>
    <row r="30" s="114" customFormat="1" ht="10" customHeight="1" spans="1:108">
      <c r="A30" s="161" t="s">
        <v>103</v>
      </c>
      <c r="B30" s="170">
        <v>1</v>
      </c>
      <c r="C30" s="163">
        <v>17298</v>
      </c>
      <c r="D30" s="164">
        <f>ROUND(C30/C$7,4)</f>
        <v>0.0006</v>
      </c>
      <c r="E30" s="165">
        <f>D30*B30</f>
        <v>0.0006</v>
      </c>
      <c r="F30" s="166">
        <f>E30/SUM(E$9:E$28,E$30:E$64)</f>
        <v>0.000751738395038526</v>
      </c>
      <c r="G30" s="167">
        <f>ROUND(204.97*F30,2)</f>
        <v>0.15</v>
      </c>
      <c r="H30" s="176">
        <v>11</v>
      </c>
      <c r="I30" s="190">
        <v>925</v>
      </c>
      <c r="J30" s="191">
        <f>ROUND((H30*0.028+I30*0.001)/(H$7*0.028+I$7*0.001),4)</f>
        <v>0.0005</v>
      </c>
      <c r="K30" s="166">
        <f>J30*B30</f>
        <v>0.0005</v>
      </c>
      <c r="L30" s="192">
        <f>ROUND(K30/SUM(K$9:K$28,K$30:K$64),4)</f>
        <v>0.0006</v>
      </c>
      <c r="M30" s="193">
        <f>ROUND(2738.86*L30,2)</f>
        <v>1.64</v>
      </c>
      <c r="N30" s="163"/>
      <c r="O30" s="163"/>
      <c r="P30" s="163"/>
      <c r="Q30" s="163">
        <v>2</v>
      </c>
      <c r="R30" s="166">
        <f t="shared" ref="R30:R64" si="84">ROUND((N30*4.1+O30*50+P30*10+Q30*0.02)/1411.4,4)</f>
        <v>0</v>
      </c>
      <c r="S30" s="166">
        <f>R30*B30</f>
        <v>0</v>
      </c>
      <c r="T30" s="166">
        <f t="shared" ref="T30:T64" si="85">S30/SUM(S$9:S$28,S$30:S$64)</f>
        <v>0</v>
      </c>
      <c r="U30" s="193">
        <f t="shared" ref="U30:U64" si="86">ROUND(701.4*T30,2)</f>
        <v>0</v>
      </c>
      <c r="V30" s="193"/>
      <c r="W30" s="193">
        <f>U30+V30</f>
        <v>0</v>
      </c>
      <c r="X30" s="168">
        <v>0</v>
      </c>
      <c r="Y30" s="206">
        <v>0</v>
      </c>
      <c r="Z30" s="206">
        <v>1</v>
      </c>
      <c r="AA30" s="206"/>
      <c r="AB30" s="191">
        <f t="shared" ref="AB30:AB64" si="87">ROUND((X30*0.27+Y30*0.55+Z30*0.09+AA30*0.09)/(X$7*0.27+Y$7*0.55+Z$7*0.09+AA$7*0.09),4)+0.0001</f>
        <v>0.0001</v>
      </c>
      <c r="AC30" s="204">
        <f t="shared" ref="AC30:AC64" si="88">B30*AB30</f>
        <v>0.0001</v>
      </c>
      <c r="AD30" s="166">
        <f t="shared" ref="AD30:AD64" si="89">ROUND(AC30/SUM(AC$9:AC$28,AC$30:AC$64),4)</f>
        <v>0.0001</v>
      </c>
      <c r="AE30" s="193">
        <f t="shared" ref="AE30:AE64" si="90">ROUND(1329.42*AD30,2)</f>
        <v>0.13</v>
      </c>
      <c r="AF30" s="207"/>
      <c r="AG30" s="207"/>
      <c r="AH30" s="214">
        <v>1</v>
      </c>
      <c r="AI30" s="215"/>
      <c r="AJ30" s="215"/>
      <c r="AK30" s="215"/>
      <c r="AL30" s="165">
        <f>(AF30*0.01+AG30*0.0029+AH30*0.1+AI30*2+AJ30*5+AK30*2)/203.7</f>
        <v>0.000490918016691213</v>
      </c>
      <c r="AM30" s="165">
        <f>AL30*B30</f>
        <v>0.000490918016691213</v>
      </c>
      <c r="AN30" s="165">
        <f>ROUND(AM30/SUM(AM$9:AM$28,AM$30:AM$64),4)</f>
        <v>0.0006</v>
      </c>
      <c r="AO30" s="225">
        <f t="shared" ref="AO30:AO64" si="91">+ROUND(203.7*AN30,2)</f>
        <v>0.12</v>
      </c>
      <c r="AP30" s="215"/>
      <c r="AQ30" s="215"/>
      <c r="AR30" s="225">
        <f>AQ30*95.5</f>
        <v>0</v>
      </c>
      <c r="AS30" s="167">
        <f>AO30+AR30</f>
        <v>0.12</v>
      </c>
      <c r="AT30" s="176">
        <v>1</v>
      </c>
      <c r="AU30" s="176"/>
      <c r="AV30" s="176"/>
      <c r="AW30" s="176"/>
      <c r="AX30" s="176"/>
      <c r="AY30" s="176"/>
      <c r="AZ30" s="176"/>
      <c r="BA30" s="176"/>
      <c r="BB30" s="176"/>
      <c r="BC30" s="176"/>
      <c r="BD30" s="228">
        <f>ROUND((AT30*2+AU30*0.003+AV30*0.01+AW30*0.02+AX30*2+AY30*0.5+AZ30*1+BA30*0.5+BB30*3+BC30*5)/300.49,4)</f>
        <v>0.0067</v>
      </c>
      <c r="BE30" s="164">
        <f>BD30*B30</f>
        <v>0.0067</v>
      </c>
      <c r="BF30" s="164">
        <f>ROUND(BE30/SUM(BE$9:BE$28,BE$30:BE$64),4)</f>
        <v>0.0071</v>
      </c>
      <c r="BG30" s="167">
        <f>ROUND(188.45*BF30,2)</f>
        <v>1.34</v>
      </c>
      <c r="BH30" s="232"/>
      <c r="BI30" s="233">
        <v>31</v>
      </c>
      <c r="BJ30" s="164">
        <f>(BH30*0.0364*12+BI30*0.0016)/(BH$7*0.0364*12+BI$7*0.0016)</f>
        <v>0.00010859931407272</v>
      </c>
      <c r="BK30" s="164">
        <f>BJ30*B30</f>
        <v>0.00010859931407272</v>
      </c>
      <c r="BL30" s="164">
        <f>BK30/SUM(BK$9:BK$28,BK$30:BK$64)</f>
        <v>0.00011255046617677</v>
      </c>
      <c r="BM30" s="167">
        <f>ROUND(193.8*BL30,2)</f>
        <v>0.02</v>
      </c>
      <c r="BN30" s="248">
        <v>356</v>
      </c>
      <c r="BO30" s="248">
        <v>16</v>
      </c>
      <c r="BP30" s="248">
        <v>8</v>
      </c>
      <c r="BQ30" s="248"/>
      <c r="BR30" s="248"/>
      <c r="BS30" s="248"/>
      <c r="BT30" s="164">
        <f>(BN30*0.00089+BO30*0.025+BP30*0.04+BQ30*1.5+BR30*20+BS30*50)/1289.41</f>
        <v>0.000804119713667491</v>
      </c>
      <c r="BU30" s="164">
        <f>BT30*B30</f>
        <v>0.000804119713667491</v>
      </c>
      <c r="BV30" s="164">
        <f>ROUND(BU30/SUM(BU$9:BU$28,BU$30:BU$64),4)</f>
        <v>0.0008</v>
      </c>
      <c r="BW30" s="167">
        <f>ROUND(BV30*1309.5,2)</f>
        <v>1.05</v>
      </c>
      <c r="BX30" s="215"/>
      <c r="BY30" s="215"/>
      <c r="BZ30" s="215">
        <v>1</v>
      </c>
      <c r="CA30" s="215"/>
      <c r="CB30" s="215"/>
      <c r="CC30" s="215"/>
      <c r="CD30" s="207">
        <f>ROUND((BX30*15+BY30*3+BZ30*1+CA30*8+CB30*20)/580,4)</f>
        <v>0.0017</v>
      </c>
      <c r="CE30" s="215">
        <f>CD30*B30</f>
        <v>0.0017</v>
      </c>
      <c r="CF30" s="165">
        <f>ROUND(CE30/SUM(CE$9:CE$28,CE$30:CE$64),4)</f>
        <v>0.0017</v>
      </c>
      <c r="CG30" s="167">
        <f>ROUND(580*CF30,2)</f>
        <v>0.99</v>
      </c>
      <c r="CH30" s="163"/>
      <c r="CI30" s="163"/>
      <c r="CJ30" s="166"/>
      <c r="CK30" s="166"/>
      <c r="CL30" s="166"/>
      <c r="CM30" s="193"/>
      <c r="CN30" s="261"/>
      <c r="CO30" s="193"/>
      <c r="CP30" s="193">
        <f>CG30+CM30+CO30</f>
        <v>0.99</v>
      </c>
      <c r="CQ30" s="262">
        <v>1</v>
      </c>
      <c r="CR30" s="262"/>
      <c r="CS30" s="271">
        <v>1</v>
      </c>
      <c r="CT30" s="176">
        <v>18</v>
      </c>
      <c r="CU30" s="166">
        <f t="shared" ref="CU30:CU64" si="92">CQ30/124*0.04+CR30/5*0.04+CS30/124*0.04+CT30/4591*0.88</f>
        <v>0.00409538999866499</v>
      </c>
      <c r="CV30" s="166">
        <f t="shared" ref="CV30:CV64" si="93">CU30*B30</f>
        <v>0.00409538999866499</v>
      </c>
      <c r="CW30" s="164">
        <f>ROUND(CV30/SUM(CV$9:CV$28,CV$30:CV$64),4)</f>
        <v>0.0044</v>
      </c>
      <c r="CX30" s="272">
        <f t="shared" ref="CX30:CX64" si="94">ROUND(759.15*CW30,2)</f>
        <v>3.34</v>
      </c>
      <c r="CY30" s="273"/>
      <c r="CZ30" s="274"/>
      <c r="DA30" s="272"/>
      <c r="DB30" s="289"/>
      <c r="DC30" s="225"/>
      <c r="DD30" s="288">
        <f>G30+M30+W30+AE30+AS30+BG30+BM30+BW30+CP30+CX30+DB30+DC30+DA30</f>
        <v>8.78</v>
      </c>
    </row>
    <row r="31" s="114" customFormat="1" ht="10" customHeight="1" spans="1:108">
      <c r="A31" s="161" t="s">
        <v>104</v>
      </c>
      <c r="B31" s="170">
        <v>1</v>
      </c>
      <c r="C31" s="163">
        <v>88009</v>
      </c>
      <c r="D31" s="164">
        <f t="shared" ref="D31:D64" si="95">ROUND(C31/C$7,4)</f>
        <v>0.0029</v>
      </c>
      <c r="E31" s="165">
        <f t="shared" ref="E31:E64" si="96">D31*B31</f>
        <v>0.0029</v>
      </c>
      <c r="F31" s="166">
        <f t="shared" ref="F31:F64" si="97">E31/SUM(E$9:E$28,E$30:E$64)</f>
        <v>0.00363340224268621</v>
      </c>
      <c r="G31" s="167">
        <f t="shared" ref="G31:G64" si="98">ROUND(204.97*F31,2)</f>
        <v>0.74</v>
      </c>
      <c r="H31" s="176">
        <v>98</v>
      </c>
      <c r="I31" s="190">
        <v>5581</v>
      </c>
      <c r="J31" s="191">
        <f t="shared" ref="J31:J64" si="99">ROUND((H31*0.028+I31*0.001)/(H$7*0.028+I$7*0.001),4)</f>
        <v>0.0031</v>
      </c>
      <c r="K31" s="166">
        <f t="shared" ref="K31:K64" si="100">J31*B31</f>
        <v>0.0031</v>
      </c>
      <c r="L31" s="192">
        <f t="shared" ref="L31:L64" si="101">ROUND(K31/SUM(K$9:K$28,K$30:K$64),4)</f>
        <v>0.004</v>
      </c>
      <c r="M31" s="193">
        <f t="shared" ref="M31:M64" si="102">ROUND(2738.86*L31,2)</f>
        <v>10.96</v>
      </c>
      <c r="N31" s="163"/>
      <c r="O31" s="163"/>
      <c r="P31" s="163"/>
      <c r="Q31" s="163">
        <v>72</v>
      </c>
      <c r="R31" s="166">
        <f t="shared" si="84"/>
        <v>0.001</v>
      </c>
      <c r="S31" s="166">
        <f t="shared" ref="S31:S64" si="103">R31*B31</f>
        <v>0.001</v>
      </c>
      <c r="T31" s="166">
        <f t="shared" si="85"/>
        <v>0.00106213489113117</v>
      </c>
      <c r="U31" s="193">
        <f t="shared" si="86"/>
        <v>0.74</v>
      </c>
      <c r="V31" s="193"/>
      <c r="W31" s="193">
        <f t="shared" ref="W31:W64" si="104">U31+V31</f>
        <v>0.74</v>
      </c>
      <c r="X31" s="168">
        <v>0</v>
      </c>
      <c r="Y31" s="206">
        <v>0</v>
      </c>
      <c r="Z31" s="206">
        <v>1</v>
      </c>
      <c r="AA31" s="206"/>
      <c r="AB31" s="191">
        <f t="shared" si="87"/>
        <v>0.0001</v>
      </c>
      <c r="AC31" s="204">
        <f t="shared" si="88"/>
        <v>0.0001</v>
      </c>
      <c r="AD31" s="166">
        <f t="shared" si="89"/>
        <v>0.0001</v>
      </c>
      <c r="AE31" s="193">
        <f t="shared" si="90"/>
        <v>0.13</v>
      </c>
      <c r="AF31" s="207"/>
      <c r="AG31" s="207"/>
      <c r="AH31" s="214">
        <v>1</v>
      </c>
      <c r="AI31" s="215"/>
      <c r="AJ31" s="215"/>
      <c r="AK31" s="215"/>
      <c r="AL31" s="165">
        <f t="shared" ref="AL31:AL64" si="105">(AF31*0.01+AG31*0.0029+AH31*0.1+AI31*2+AJ31*5+AK31*2)/203.7</f>
        <v>0.000490918016691213</v>
      </c>
      <c r="AM31" s="165">
        <f t="shared" ref="AM31:AM64" si="106">AL31*B31</f>
        <v>0.000490918016691213</v>
      </c>
      <c r="AN31" s="165">
        <f t="shared" ref="AN31:AN64" si="107">ROUND(AM31/SUM(AM$9:AM$28,AM$30:AM$64),4)</f>
        <v>0.0006</v>
      </c>
      <c r="AO31" s="225">
        <f t="shared" si="91"/>
        <v>0.12</v>
      </c>
      <c r="AP31" s="215"/>
      <c r="AQ31" s="215"/>
      <c r="AR31" s="225">
        <f t="shared" ref="AR31:AR64" si="108">AQ31*95.5</f>
        <v>0</v>
      </c>
      <c r="AS31" s="167">
        <f t="shared" ref="AS31:AS64" si="109">AO31+AR31</f>
        <v>0.12</v>
      </c>
      <c r="AT31" s="176">
        <v>1</v>
      </c>
      <c r="AU31" s="176"/>
      <c r="AV31" s="176"/>
      <c r="AW31" s="176"/>
      <c r="AX31" s="176"/>
      <c r="AY31" s="176">
        <v>1</v>
      </c>
      <c r="AZ31" s="176"/>
      <c r="BA31" s="176"/>
      <c r="BB31" s="176"/>
      <c r="BC31" s="176"/>
      <c r="BD31" s="228">
        <f t="shared" ref="BD31:BD64" si="110">ROUND((AT31*2+AU31*0.003+AV31*0.01+AW31*0.02+AX31*2+AY31*0.5+AZ31*1+BA31*0.5+BB31*3+BC31*5)/300.49,4)</f>
        <v>0.0083</v>
      </c>
      <c r="BE31" s="164">
        <f t="shared" ref="BE31:BE64" si="111">BD31*B31</f>
        <v>0.0083</v>
      </c>
      <c r="BF31" s="164">
        <f t="shared" ref="BF31:BF64" si="112">ROUND(BE31/SUM(BE$9:BE$28,BE$30:BE$64),4)</f>
        <v>0.0088</v>
      </c>
      <c r="BG31" s="167">
        <f t="shared" ref="BG31:BG64" si="113">ROUND(188.45*BF31,2)</f>
        <v>1.66</v>
      </c>
      <c r="BH31" s="232"/>
      <c r="BI31" s="233">
        <v>168</v>
      </c>
      <c r="BJ31" s="164">
        <f t="shared" ref="BJ31:BJ64" si="114">(BH31*0.0364*12+BI31*0.0016)/(BH$7*0.0364*12+BI$7*0.0016)</f>
        <v>0.000588538218200545</v>
      </c>
      <c r="BK31" s="164">
        <f t="shared" ref="BK31:BK64" si="115">BJ31*B31</f>
        <v>0.000588538218200545</v>
      </c>
      <c r="BL31" s="164">
        <f t="shared" ref="BL31:BL64" si="116">BK31/SUM(BK$9:BK$28,BK$30:BK$64)</f>
        <v>0.000609950913474106</v>
      </c>
      <c r="BM31" s="167">
        <f t="shared" ref="BM31:BM64" si="117">ROUND(193.8*BL31,2)</f>
        <v>0.12</v>
      </c>
      <c r="BN31" s="248">
        <v>2556</v>
      </c>
      <c r="BO31" s="248">
        <v>76</v>
      </c>
      <c r="BP31" s="248">
        <v>38</v>
      </c>
      <c r="BQ31" s="248"/>
      <c r="BR31" s="248"/>
      <c r="BS31" s="248"/>
      <c r="BT31" s="164">
        <f t="shared" ref="BT31:BT64" si="118">(BN31*0.00089+BO31*0.025+BP31*0.04+BQ31*1.5+BR31*20+BS31*50)/1289.41</f>
        <v>0.00441662465778922</v>
      </c>
      <c r="BU31" s="164">
        <f t="shared" ref="BU31:BU64" si="119">BT31*B31</f>
        <v>0.00441662465778922</v>
      </c>
      <c r="BV31" s="164">
        <f t="shared" ref="BV31:BV64" si="120">ROUND(BU31/SUM(BU$9:BU$28,BU$30:BU$64),4)</f>
        <v>0.0045</v>
      </c>
      <c r="BW31" s="167">
        <f t="shared" ref="BW31:BW64" si="121">ROUND(BV31*1309.5,2)</f>
        <v>5.89</v>
      </c>
      <c r="BX31" s="215">
        <v>1</v>
      </c>
      <c r="BY31" s="215">
        <v>1</v>
      </c>
      <c r="BZ31" s="215">
        <v>1</v>
      </c>
      <c r="CA31" s="215"/>
      <c r="CB31" s="215"/>
      <c r="CC31" s="215"/>
      <c r="CD31" s="207">
        <f t="shared" ref="CD30:CD64" si="122">ROUND((BX31*15+BY31*3+BZ31*1+CA31*8+CB31*20)/580,4)</f>
        <v>0.0328</v>
      </c>
      <c r="CE31" s="215">
        <f t="shared" ref="CE31:CE64" si="123">CD31*B31</f>
        <v>0.0328</v>
      </c>
      <c r="CF31" s="165">
        <f t="shared" ref="CF31:CF64" si="124">ROUND(CE31/SUM(CE$9:CE$28,CE$30:CE$64),4)</f>
        <v>0.0331</v>
      </c>
      <c r="CG31" s="167">
        <f t="shared" ref="CG31:CG64" si="125">ROUND(580*CF31,2)</f>
        <v>19.2</v>
      </c>
      <c r="CH31" s="163"/>
      <c r="CI31" s="163"/>
      <c r="CJ31" s="166"/>
      <c r="CK31" s="166"/>
      <c r="CL31" s="166"/>
      <c r="CM31" s="193"/>
      <c r="CN31" s="261"/>
      <c r="CO31" s="193"/>
      <c r="CP31" s="193">
        <f t="shared" ref="CP31:CP64" si="126">CG31+CM31+CO31</f>
        <v>19.2</v>
      </c>
      <c r="CQ31" s="262">
        <v>1</v>
      </c>
      <c r="CR31" s="262"/>
      <c r="CS31" s="271">
        <v>1</v>
      </c>
      <c r="CT31" s="176">
        <v>55</v>
      </c>
      <c r="CU31" s="166">
        <f t="shared" si="92"/>
        <v>0.0111875267880355</v>
      </c>
      <c r="CV31" s="166">
        <f t="shared" si="93"/>
        <v>0.0111875267880355</v>
      </c>
      <c r="CW31" s="164">
        <f t="shared" ref="CW31:CW64" si="127">ROUND(CV31/SUM(CV$9:CV$28,CV$30:CV$64),4)</f>
        <v>0.0122</v>
      </c>
      <c r="CX31" s="272">
        <f t="shared" si="94"/>
        <v>9.26</v>
      </c>
      <c r="CY31" s="273"/>
      <c r="CZ31" s="274"/>
      <c r="DA31" s="272"/>
      <c r="DB31" s="290"/>
      <c r="DC31" s="225"/>
      <c r="DD31" s="288">
        <f t="shared" ref="DD31:DD64" si="128">G31+M31+W31+AE31+AS31+BG31+BM31+BW31+CP31+CX31+DB31+DC31+DA31</f>
        <v>48.82</v>
      </c>
    </row>
    <row r="32" s="114" customFormat="1" ht="10" customHeight="1" spans="1:108">
      <c r="A32" s="161" t="s">
        <v>105</v>
      </c>
      <c r="B32" s="170">
        <v>1</v>
      </c>
      <c r="C32" s="163">
        <v>48385</v>
      </c>
      <c r="D32" s="164">
        <f t="shared" si="95"/>
        <v>0.0016</v>
      </c>
      <c r="E32" s="165">
        <f t="shared" si="96"/>
        <v>0.0016</v>
      </c>
      <c r="F32" s="166">
        <f t="shared" si="97"/>
        <v>0.00200463572010274</v>
      </c>
      <c r="G32" s="167">
        <f t="shared" si="98"/>
        <v>0.41</v>
      </c>
      <c r="H32" s="176">
        <v>47</v>
      </c>
      <c r="I32" s="190">
        <v>3227</v>
      </c>
      <c r="J32" s="191">
        <f t="shared" si="99"/>
        <v>0.0017</v>
      </c>
      <c r="K32" s="166">
        <f t="shared" si="100"/>
        <v>0.0017</v>
      </c>
      <c r="L32" s="192">
        <f t="shared" si="101"/>
        <v>0.0022</v>
      </c>
      <c r="M32" s="193">
        <f t="shared" si="102"/>
        <v>6.03</v>
      </c>
      <c r="N32" s="163"/>
      <c r="O32" s="163"/>
      <c r="P32" s="163"/>
      <c r="Q32" s="163">
        <v>25</v>
      </c>
      <c r="R32" s="166">
        <f t="shared" si="84"/>
        <v>0.0004</v>
      </c>
      <c r="S32" s="166">
        <f t="shared" si="103"/>
        <v>0.0004</v>
      </c>
      <c r="T32" s="166">
        <f t="shared" si="85"/>
        <v>0.00042485395645247</v>
      </c>
      <c r="U32" s="193">
        <f t="shared" si="86"/>
        <v>0.3</v>
      </c>
      <c r="V32" s="193"/>
      <c r="W32" s="193">
        <f t="shared" si="104"/>
        <v>0.3</v>
      </c>
      <c r="X32" s="168">
        <v>0</v>
      </c>
      <c r="Y32" s="206">
        <v>0</v>
      </c>
      <c r="Z32" s="206">
        <v>1</v>
      </c>
      <c r="AA32" s="206"/>
      <c r="AB32" s="191">
        <f t="shared" si="87"/>
        <v>0.0001</v>
      </c>
      <c r="AC32" s="204">
        <f t="shared" si="88"/>
        <v>0.0001</v>
      </c>
      <c r="AD32" s="166">
        <f t="shared" si="89"/>
        <v>0.0001</v>
      </c>
      <c r="AE32" s="193">
        <f t="shared" si="90"/>
        <v>0.13</v>
      </c>
      <c r="AF32" s="207"/>
      <c r="AG32" s="207"/>
      <c r="AH32" s="214">
        <v>1</v>
      </c>
      <c r="AI32" s="215"/>
      <c r="AJ32" s="215"/>
      <c r="AK32" s="215">
        <v>3</v>
      </c>
      <c r="AL32" s="165">
        <f t="shared" si="105"/>
        <v>0.029945999018164</v>
      </c>
      <c r="AM32" s="165">
        <f t="shared" si="106"/>
        <v>0.029945999018164</v>
      </c>
      <c r="AN32" s="165">
        <f t="shared" si="107"/>
        <v>0.0378</v>
      </c>
      <c r="AO32" s="225">
        <f t="shared" si="91"/>
        <v>7.7</v>
      </c>
      <c r="AP32" s="215"/>
      <c r="AQ32" s="215"/>
      <c r="AR32" s="225">
        <f t="shared" si="108"/>
        <v>0</v>
      </c>
      <c r="AS32" s="167">
        <f t="shared" si="109"/>
        <v>7.7</v>
      </c>
      <c r="AT32" s="176">
        <v>1</v>
      </c>
      <c r="AU32" s="176"/>
      <c r="AV32" s="176"/>
      <c r="AW32" s="176"/>
      <c r="AX32" s="176"/>
      <c r="AY32" s="176"/>
      <c r="AZ32" s="176"/>
      <c r="BA32" s="176"/>
      <c r="BB32" s="176"/>
      <c r="BC32" s="176"/>
      <c r="BD32" s="228">
        <f t="shared" si="110"/>
        <v>0.0067</v>
      </c>
      <c r="BE32" s="164">
        <f t="shared" si="111"/>
        <v>0.0067</v>
      </c>
      <c r="BF32" s="164">
        <f t="shared" si="112"/>
        <v>0.0071</v>
      </c>
      <c r="BG32" s="167">
        <f t="shared" si="113"/>
        <v>1.34</v>
      </c>
      <c r="BH32" s="232"/>
      <c r="BI32" s="233">
        <v>105</v>
      </c>
      <c r="BJ32" s="164">
        <f t="shared" si="114"/>
        <v>0.00036783638637534</v>
      </c>
      <c r="BK32" s="164">
        <f t="shared" si="115"/>
        <v>0.00036783638637534</v>
      </c>
      <c r="BL32" s="164">
        <f t="shared" si="116"/>
        <v>0.000381219320921316</v>
      </c>
      <c r="BM32" s="167">
        <f t="shared" si="117"/>
        <v>0.07</v>
      </c>
      <c r="BN32" s="248">
        <v>1384</v>
      </c>
      <c r="BO32" s="248">
        <v>44</v>
      </c>
      <c r="BP32" s="248">
        <v>22</v>
      </c>
      <c r="BQ32" s="248"/>
      <c r="BR32" s="248"/>
      <c r="BS32" s="248"/>
      <c r="BT32" s="164">
        <f t="shared" si="118"/>
        <v>0.00249087567181889</v>
      </c>
      <c r="BU32" s="164">
        <f t="shared" si="119"/>
        <v>0.00249087567181889</v>
      </c>
      <c r="BV32" s="164">
        <f t="shared" si="120"/>
        <v>0.0025</v>
      </c>
      <c r="BW32" s="167">
        <f t="shared" si="121"/>
        <v>3.27</v>
      </c>
      <c r="BX32" s="215"/>
      <c r="BY32" s="215">
        <v>1</v>
      </c>
      <c r="BZ32" s="215">
        <v>1</v>
      </c>
      <c r="CA32" s="215"/>
      <c r="CB32" s="215"/>
      <c r="CC32" s="215"/>
      <c r="CD32" s="207">
        <f t="shared" si="122"/>
        <v>0.0069</v>
      </c>
      <c r="CE32" s="215">
        <f t="shared" si="123"/>
        <v>0.0069</v>
      </c>
      <c r="CF32" s="165">
        <f t="shared" si="124"/>
        <v>0.007</v>
      </c>
      <c r="CG32" s="167">
        <f t="shared" si="125"/>
        <v>4.06</v>
      </c>
      <c r="CH32" s="163"/>
      <c r="CI32" s="163"/>
      <c r="CJ32" s="166"/>
      <c r="CK32" s="166"/>
      <c r="CL32" s="166"/>
      <c r="CM32" s="193"/>
      <c r="CN32" s="261"/>
      <c r="CO32" s="193"/>
      <c r="CP32" s="193">
        <f t="shared" si="126"/>
        <v>4.06</v>
      </c>
      <c r="CQ32" s="262">
        <v>1</v>
      </c>
      <c r="CR32" s="262">
        <v>1</v>
      </c>
      <c r="CS32" s="271">
        <v>1</v>
      </c>
      <c r="CT32" s="176">
        <v>39</v>
      </c>
      <c r="CU32" s="166">
        <f t="shared" si="92"/>
        <v>0.0161206568250645</v>
      </c>
      <c r="CV32" s="166">
        <f t="shared" si="93"/>
        <v>0.0161206568250645</v>
      </c>
      <c r="CW32" s="164">
        <f t="shared" si="127"/>
        <v>0.0175</v>
      </c>
      <c r="CX32" s="272">
        <f t="shared" si="94"/>
        <v>13.29</v>
      </c>
      <c r="CY32" s="273"/>
      <c r="CZ32" s="274"/>
      <c r="DA32" s="272"/>
      <c r="DB32" s="289"/>
      <c r="DC32" s="225"/>
      <c r="DD32" s="288">
        <f t="shared" si="128"/>
        <v>36.6</v>
      </c>
    </row>
    <row r="33" s="114" customFormat="1" ht="10" customHeight="1" spans="1:108">
      <c r="A33" s="161" t="s">
        <v>106</v>
      </c>
      <c r="B33" s="170">
        <v>1</v>
      </c>
      <c r="C33" s="163">
        <v>57061</v>
      </c>
      <c r="D33" s="164">
        <f t="shared" si="95"/>
        <v>0.0019</v>
      </c>
      <c r="E33" s="165">
        <f t="shared" si="96"/>
        <v>0.0019</v>
      </c>
      <c r="F33" s="166">
        <f t="shared" si="97"/>
        <v>0.002380504917622</v>
      </c>
      <c r="G33" s="167">
        <f t="shared" si="98"/>
        <v>0.49</v>
      </c>
      <c r="H33" s="176">
        <v>79</v>
      </c>
      <c r="I33" s="190">
        <v>2601</v>
      </c>
      <c r="J33" s="191">
        <f t="shared" si="99"/>
        <v>0.0018</v>
      </c>
      <c r="K33" s="166">
        <f t="shared" si="100"/>
        <v>0.0018</v>
      </c>
      <c r="L33" s="192">
        <f t="shared" si="101"/>
        <v>0.0023</v>
      </c>
      <c r="M33" s="193">
        <f t="shared" si="102"/>
        <v>6.3</v>
      </c>
      <c r="N33" s="163"/>
      <c r="O33" s="163"/>
      <c r="P33" s="163"/>
      <c r="Q33" s="163">
        <v>34</v>
      </c>
      <c r="R33" s="166">
        <f t="shared" si="84"/>
        <v>0.0005</v>
      </c>
      <c r="S33" s="166">
        <f t="shared" si="103"/>
        <v>0.0005</v>
      </c>
      <c r="T33" s="166">
        <f t="shared" si="85"/>
        <v>0.000531067445565587</v>
      </c>
      <c r="U33" s="193">
        <f t="shared" si="86"/>
        <v>0.37</v>
      </c>
      <c r="V33" s="193"/>
      <c r="W33" s="193">
        <f t="shared" si="104"/>
        <v>0.37</v>
      </c>
      <c r="X33" s="168">
        <v>0</v>
      </c>
      <c r="Y33" s="206">
        <v>0</v>
      </c>
      <c r="Z33" s="206">
        <v>1</v>
      </c>
      <c r="AA33" s="206"/>
      <c r="AB33" s="191">
        <f t="shared" si="87"/>
        <v>0.0001</v>
      </c>
      <c r="AC33" s="204">
        <f t="shared" si="88"/>
        <v>0.0001</v>
      </c>
      <c r="AD33" s="166">
        <f t="shared" si="89"/>
        <v>0.0001</v>
      </c>
      <c r="AE33" s="193">
        <f t="shared" si="90"/>
        <v>0.13</v>
      </c>
      <c r="AF33" s="207"/>
      <c r="AG33" s="207"/>
      <c r="AH33" s="214">
        <v>1</v>
      </c>
      <c r="AI33" s="215"/>
      <c r="AJ33" s="215"/>
      <c r="AK33" s="215"/>
      <c r="AL33" s="165">
        <f t="shared" si="105"/>
        <v>0.000490918016691213</v>
      </c>
      <c r="AM33" s="165">
        <f t="shared" si="106"/>
        <v>0.000490918016691213</v>
      </c>
      <c r="AN33" s="165">
        <f t="shared" si="107"/>
        <v>0.0006</v>
      </c>
      <c r="AO33" s="225">
        <f t="shared" si="91"/>
        <v>0.12</v>
      </c>
      <c r="AP33" s="215"/>
      <c r="AQ33" s="215"/>
      <c r="AR33" s="225">
        <f t="shared" si="108"/>
        <v>0</v>
      </c>
      <c r="AS33" s="167">
        <f t="shared" si="109"/>
        <v>0.12</v>
      </c>
      <c r="AT33" s="176">
        <v>1</v>
      </c>
      <c r="AU33" s="176"/>
      <c r="AV33" s="176"/>
      <c r="AW33" s="176"/>
      <c r="AX33" s="176"/>
      <c r="AY33" s="176">
        <v>1</v>
      </c>
      <c r="AZ33" s="176"/>
      <c r="BA33" s="176"/>
      <c r="BB33" s="176"/>
      <c r="BC33" s="176"/>
      <c r="BD33" s="228">
        <f t="shared" si="110"/>
        <v>0.0083</v>
      </c>
      <c r="BE33" s="164">
        <f t="shared" si="111"/>
        <v>0.0083</v>
      </c>
      <c r="BF33" s="164">
        <f t="shared" si="112"/>
        <v>0.0088</v>
      </c>
      <c r="BG33" s="167">
        <f t="shared" si="113"/>
        <v>1.66</v>
      </c>
      <c r="BH33" s="232"/>
      <c r="BI33" s="233">
        <v>93</v>
      </c>
      <c r="BJ33" s="164">
        <f t="shared" si="114"/>
        <v>0.000325797942218159</v>
      </c>
      <c r="BK33" s="164">
        <f t="shared" si="115"/>
        <v>0.000325797942218159</v>
      </c>
      <c r="BL33" s="164">
        <f t="shared" si="116"/>
        <v>0.000337651398530309</v>
      </c>
      <c r="BM33" s="167">
        <f t="shared" si="117"/>
        <v>0.07</v>
      </c>
      <c r="BN33" s="176">
        <v>1403</v>
      </c>
      <c r="BO33" s="176">
        <v>36</v>
      </c>
      <c r="BP33" s="176">
        <v>18</v>
      </c>
      <c r="BQ33" s="248"/>
      <c r="BR33" s="248"/>
      <c r="BS33" s="248"/>
      <c r="BT33" s="164">
        <f t="shared" si="118"/>
        <v>0.00222479273466159</v>
      </c>
      <c r="BU33" s="164">
        <f t="shared" si="119"/>
        <v>0.00222479273466159</v>
      </c>
      <c r="BV33" s="164">
        <f t="shared" si="120"/>
        <v>0.0023</v>
      </c>
      <c r="BW33" s="167">
        <f t="shared" si="121"/>
        <v>3.01</v>
      </c>
      <c r="BX33" s="215"/>
      <c r="BY33" s="215"/>
      <c r="BZ33" s="215">
        <v>1</v>
      </c>
      <c r="CA33" s="215"/>
      <c r="CB33" s="215"/>
      <c r="CC33" s="215"/>
      <c r="CD33" s="207">
        <f t="shared" si="122"/>
        <v>0.0017</v>
      </c>
      <c r="CE33" s="215">
        <f t="shared" si="123"/>
        <v>0.0017</v>
      </c>
      <c r="CF33" s="165">
        <f t="shared" si="124"/>
        <v>0.0017</v>
      </c>
      <c r="CG33" s="167">
        <f t="shared" si="125"/>
        <v>0.99</v>
      </c>
      <c r="CH33" s="163"/>
      <c r="CI33" s="163"/>
      <c r="CJ33" s="166"/>
      <c r="CK33" s="166"/>
      <c r="CL33" s="166"/>
      <c r="CM33" s="193"/>
      <c r="CN33" s="261"/>
      <c r="CO33" s="193"/>
      <c r="CP33" s="193">
        <f t="shared" si="126"/>
        <v>0.99</v>
      </c>
      <c r="CQ33" s="262">
        <v>1</v>
      </c>
      <c r="CR33" s="262"/>
      <c r="CS33" s="271">
        <v>1</v>
      </c>
      <c r="CT33" s="176">
        <v>35</v>
      </c>
      <c r="CU33" s="166">
        <f t="shared" si="92"/>
        <v>0.00735393933432171</v>
      </c>
      <c r="CV33" s="166">
        <f t="shared" si="93"/>
        <v>0.00735393933432171</v>
      </c>
      <c r="CW33" s="164">
        <f t="shared" si="127"/>
        <v>0.008</v>
      </c>
      <c r="CX33" s="272">
        <f t="shared" si="94"/>
        <v>6.07</v>
      </c>
      <c r="CY33" s="273"/>
      <c r="CZ33" s="274"/>
      <c r="DA33" s="272"/>
      <c r="DB33" s="289"/>
      <c r="DC33" s="225"/>
      <c r="DD33" s="288">
        <f t="shared" si="128"/>
        <v>19.21</v>
      </c>
    </row>
    <row r="34" s="114" customFormat="1" ht="10" customHeight="1" spans="1:108">
      <c r="A34" s="161" t="s">
        <v>107</v>
      </c>
      <c r="B34" s="170">
        <v>1</v>
      </c>
      <c r="C34" s="163">
        <v>122013</v>
      </c>
      <c r="D34" s="164">
        <f t="shared" si="95"/>
        <v>0.004</v>
      </c>
      <c r="E34" s="165">
        <f t="shared" si="96"/>
        <v>0.004</v>
      </c>
      <c r="F34" s="166">
        <f t="shared" si="97"/>
        <v>0.00501158930025684</v>
      </c>
      <c r="G34" s="167">
        <f t="shared" si="98"/>
        <v>1.03</v>
      </c>
      <c r="H34" s="176">
        <v>85</v>
      </c>
      <c r="I34" s="190">
        <v>5124</v>
      </c>
      <c r="J34" s="191">
        <f t="shared" si="99"/>
        <v>0.0028</v>
      </c>
      <c r="K34" s="166">
        <f t="shared" si="100"/>
        <v>0.0028</v>
      </c>
      <c r="L34" s="192">
        <f t="shared" si="101"/>
        <v>0.0036</v>
      </c>
      <c r="M34" s="193">
        <f t="shared" si="102"/>
        <v>9.86</v>
      </c>
      <c r="N34" s="163"/>
      <c r="O34" s="163"/>
      <c r="P34" s="163"/>
      <c r="Q34" s="163">
        <v>22</v>
      </c>
      <c r="R34" s="166">
        <f t="shared" si="84"/>
        <v>0.0003</v>
      </c>
      <c r="S34" s="166">
        <f t="shared" si="103"/>
        <v>0.0003</v>
      </c>
      <c r="T34" s="166">
        <f t="shared" si="85"/>
        <v>0.000318640467339352</v>
      </c>
      <c r="U34" s="193">
        <f t="shared" si="86"/>
        <v>0.22</v>
      </c>
      <c r="V34" s="193"/>
      <c r="W34" s="193">
        <f t="shared" si="104"/>
        <v>0.22</v>
      </c>
      <c r="X34" s="168">
        <v>0</v>
      </c>
      <c r="Y34" s="206">
        <v>0</v>
      </c>
      <c r="Z34" s="206">
        <v>1</v>
      </c>
      <c r="AA34" s="206"/>
      <c r="AB34" s="191">
        <f t="shared" si="87"/>
        <v>0.0001</v>
      </c>
      <c r="AC34" s="204">
        <f t="shared" si="88"/>
        <v>0.0001</v>
      </c>
      <c r="AD34" s="166">
        <f t="shared" si="89"/>
        <v>0.0001</v>
      </c>
      <c r="AE34" s="193">
        <f t="shared" si="90"/>
        <v>0.13</v>
      </c>
      <c r="AF34" s="207"/>
      <c r="AG34" s="207"/>
      <c r="AH34" s="214">
        <v>1</v>
      </c>
      <c r="AI34" s="215"/>
      <c r="AJ34" s="215"/>
      <c r="AK34" s="215">
        <v>1</v>
      </c>
      <c r="AL34" s="165">
        <f t="shared" si="105"/>
        <v>0.0103092783505155</v>
      </c>
      <c r="AM34" s="165">
        <f t="shared" si="106"/>
        <v>0.0103092783505155</v>
      </c>
      <c r="AN34" s="165">
        <f t="shared" si="107"/>
        <v>0.013</v>
      </c>
      <c r="AO34" s="225">
        <f t="shared" si="91"/>
        <v>2.65</v>
      </c>
      <c r="AP34" s="215"/>
      <c r="AQ34" s="215"/>
      <c r="AR34" s="225">
        <f t="shared" si="108"/>
        <v>0</v>
      </c>
      <c r="AS34" s="167">
        <f t="shared" si="109"/>
        <v>2.65</v>
      </c>
      <c r="AT34" s="176">
        <v>1</v>
      </c>
      <c r="AU34" s="176"/>
      <c r="AV34" s="176"/>
      <c r="AW34" s="176"/>
      <c r="AX34" s="176"/>
      <c r="AY34" s="176"/>
      <c r="AZ34" s="176"/>
      <c r="BA34" s="176"/>
      <c r="BB34" s="176"/>
      <c r="BC34" s="176"/>
      <c r="BD34" s="228">
        <f t="shared" si="110"/>
        <v>0.0067</v>
      </c>
      <c r="BE34" s="164">
        <f t="shared" si="111"/>
        <v>0.0067</v>
      </c>
      <c r="BF34" s="164">
        <f t="shared" si="112"/>
        <v>0.0071</v>
      </c>
      <c r="BG34" s="167">
        <f t="shared" si="113"/>
        <v>1.34</v>
      </c>
      <c r="BH34" s="232"/>
      <c r="BI34" s="233">
        <v>174</v>
      </c>
      <c r="BJ34" s="164">
        <f t="shared" si="114"/>
        <v>0.000609557440279135</v>
      </c>
      <c r="BK34" s="164">
        <f t="shared" si="115"/>
        <v>0.000609557440279135</v>
      </c>
      <c r="BL34" s="164">
        <f t="shared" si="116"/>
        <v>0.00063173487466961</v>
      </c>
      <c r="BM34" s="167">
        <f t="shared" si="117"/>
        <v>0.12</v>
      </c>
      <c r="BN34" s="248">
        <v>2775</v>
      </c>
      <c r="BO34" s="248">
        <v>44</v>
      </c>
      <c r="BP34" s="248">
        <v>22</v>
      </c>
      <c r="BQ34" s="248"/>
      <c r="BR34" s="248"/>
      <c r="BS34" s="248"/>
      <c r="BT34" s="164">
        <f t="shared" si="118"/>
        <v>0.00345099696760534</v>
      </c>
      <c r="BU34" s="164">
        <f t="shared" si="119"/>
        <v>0.00345099696760534</v>
      </c>
      <c r="BV34" s="164">
        <f t="shared" si="120"/>
        <v>0.0035</v>
      </c>
      <c r="BW34" s="167">
        <f t="shared" si="121"/>
        <v>4.58</v>
      </c>
      <c r="BX34" s="215">
        <v>1</v>
      </c>
      <c r="BY34" s="215"/>
      <c r="BZ34" s="215">
        <v>1</v>
      </c>
      <c r="CA34" s="215"/>
      <c r="CB34" s="215"/>
      <c r="CC34" s="215"/>
      <c r="CD34" s="207">
        <f t="shared" si="122"/>
        <v>0.0276</v>
      </c>
      <c r="CE34" s="215">
        <f t="shared" si="123"/>
        <v>0.0276</v>
      </c>
      <c r="CF34" s="165">
        <f t="shared" si="124"/>
        <v>0.0279</v>
      </c>
      <c r="CG34" s="167">
        <f t="shared" si="125"/>
        <v>16.18</v>
      </c>
      <c r="CH34" s="163"/>
      <c r="CI34" s="163"/>
      <c r="CJ34" s="166"/>
      <c r="CK34" s="166"/>
      <c r="CL34" s="166"/>
      <c r="CM34" s="193"/>
      <c r="CN34" s="261"/>
      <c r="CO34" s="193"/>
      <c r="CP34" s="193">
        <f t="shared" si="126"/>
        <v>16.18</v>
      </c>
      <c r="CQ34" s="262">
        <v>1</v>
      </c>
      <c r="CR34" s="262"/>
      <c r="CS34" s="271">
        <v>1</v>
      </c>
      <c r="CT34" s="176">
        <v>31</v>
      </c>
      <c r="CU34" s="166">
        <f t="shared" si="92"/>
        <v>0.00658722184357895</v>
      </c>
      <c r="CV34" s="166">
        <f t="shared" si="93"/>
        <v>0.00658722184357895</v>
      </c>
      <c r="CW34" s="164">
        <f t="shared" si="127"/>
        <v>0.0072</v>
      </c>
      <c r="CX34" s="272">
        <f t="shared" si="94"/>
        <v>5.47</v>
      </c>
      <c r="CY34" s="273"/>
      <c r="CZ34" s="274"/>
      <c r="DA34" s="272"/>
      <c r="DB34" s="289"/>
      <c r="DC34" s="225"/>
      <c r="DD34" s="288">
        <f t="shared" si="128"/>
        <v>41.58</v>
      </c>
    </row>
    <row r="35" s="114" customFormat="1" ht="10" customHeight="1" spans="1:108">
      <c r="A35" s="161" t="s">
        <v>108</v>
      </c>
      <c r="B35" s="170">
        <v>1</v>
      </c>
      <c r="C35" s="163">
        <v>178736</v>
      </c>
      <c r="D35" s="164">
        <f t="shared" si="95"/>
        <v>0.0058</v>
      </c>
      <c r="E35" s="165">
        <f t="shared" si="96"/>
        <v>0.0058</v>
      </c>
      <c r="F35" s="166">
        <f t="shared" si="97"/>
        <v>0.00726680448537242</v>
      </c>
      <c r="G35" s="167">
        <f t="shared" si="98"/>
        <v>1.49</v>
      </c>
      <c r="H35" s="176">
        <v>87</v>
      </c>
      <c r="I35" s="190">
        <v>9220</v>
      </c>
      <c r="J35" s="191">
        <f t="shared" si="99"/>
        <v>0.0043</v>
      </c>
      <c r="K35" s="166">
        <f t="shared" si="100"/>
        <v>0.0043</v>
      </c>
      <c r="L35" s="192">
        <f t="shared" si="101"/>
        <v>0.0056</v>
      </c>
      <c r="M35" s="193">
        <f t="shared" si="102"/>
        <v>15.34</v>
      </c>
      <c r="N35" s="163"/>
      <c r="O35" s="163"/>
      <c r="P35" s="163"/>
      <c r="Q35" s="163">
        <v>109</v>
      </c>
      <c r="R35" s="166">
        <f t="shared" si="84"/>
        <v>0.0015</v>
      </c>
      <c r="S35" s="166">
        <f t="shared" si="103"/>
        <v>0.0015</v>
      </c>
      <c r="T35" s="166">
        <f t="shared" si="85"/>
        <v>0.00159320233669676</v>
      </c>
      <c r="U35" s="193">
        <f t="shared" si="86"/>
        <v>1.12</v>
      </c>
      <c r="V35" s="193"/>
      <c r="W35" s="193">
        <f t="shared" si="104"/>
        <v>1.12</v>
      </c>
      <c r="X35" s="168">
        <v>0</v>
      </c>
      <c r="Y35" s="206">
        <v>0</v>
      </c>
      <c r="Z35" s="206">
        <v>1</v>
      </c>
      <c r="AA35" s="206"/>
      <c r="AB35" s="191">
        <f t="shared" si="87"/>
        <v>0.0001</v>
      </c>
      <c r="AC35" s="204">
        <f t="shared" si="88"/>
        <v>0.0001</v>
      </c>
      <c r="AD35" s="166">
        <f t="shared" si="89"/>
        <v>0.0001</v>
      </c>
      <c r="AE35" s="193">
        <f t="shared" si="90"/>
        <v>0.13</v>
      </c>
      <c r="AF35" s="207"/>
      <c r="AG35" s="207"/>
      <c r="AH35" s="214">
        <v>1</v>
      </c>
      <c r="AI35" s="215"/>
      <c r="AJ35" s="215"/>
      <c r="AK35" s="215"/>
      <c r="AL35" s="165">
        <f t="shared" si="105"/>
        <v>0.000490918016691213</v>
      </c>
      <c r="AM35" s="165">
        <f t="shared" si="106"/>
        <v>0.000490918016691213</v>
      </c>
      <c r="AN35" s="165">
        <f t="shared" si="107"/>
        <v>0.0006</v>
      </c>
      <c r="AO35" s="225">
        <f t="shared" si="91"/>
        <v>0.12</v>
      </c>
      <c r="AP35" s="215"/>
      <c r="AQ35" s="215"/>
      <c r="AR35" s="225">
        <f t="shared" si="108"/>
        <v>0</v>
      </c>
      <c r="AS35" s="167">
        <f t="shared" si="109"/>
        <v>0.12</v>
      </c>
      <c r="AT35" s="176">
        <v>1</v>
      </c>
      <c r="AU35" s="176"/>
      <c r="AV35" s="176"/>
      <c r="AW35" s="176"/>
      <c r="AX35" s="176"/>
      <c r="AY35" s="176"/>
      <c r="AZ35" s="176"/>
      <c r="BA35" s="176"/>
      <c r="BB35" s="176"/>
      <c r="BC35" s="176"/>
      <c r="BD35" s="228">
        <f t="shared" si="110"/>
        <v>0.0067</v>
      </c>
      <c r="BE35" s="164">
        <f t="shared" si="111"/>
        <v>0.0067</v>
      </c>
      <c r="BF35" s="164">
        <f t="shared" si="112"/>
        <v>0.0071</v>
      </c>
      <c r="BG35" s="167">
        <f t="shared" si="113"/>
        <v>1.34</v>
      </c>
      <c r="BH35" s="232">
        <v>2</v>
      </c>
      <c r="BI35" s="233">
        <v>336</v>
      </c>
      <c r="BJ35" s="164">
        <f t="shared" si="114"/>
        <v>0.00308982564555286</v>
      </c>
      <c r="BK35" s="164">
        <f t="shared" si="115"/>
        <v>0.00308982564555286</v>
      </c>
      <c r="BL35" s="164">
        <f t="shared" si="116"/>
        <v>0.00320224229573906</v>
      </c>
      <c r="BM35" s="167">
        <f t="shared" si="117"/>
        <v>0.62</v>
      </c>
      <c r="BN35" s="248">
        <v>3372</v>
      </c>
      <c r="BO35" s="248">
        <v>96</v>
      </c>
      <c r="BP35" s="248">
        <v>48</v>
      </c>
      <c r="BQ35" s="248"/>
      <c r="BR35" s="248"/>
      <c r="BS35" s="248"/>
      <c r="BT35" s="164">
        <f t="shared" si="118"/>
        <v>0.0056778526612947</v>
      </c>
      <c r="BU35" s="164">
        <f t="shared" si="119"/>
        <v>0.0056778526612947</v>
      </c>
      <c r="BV35" s="164">
        <f t="shared" si="120"/>
        <v>0.0058</v>
      </c>
      <c r="BW35" s="167">
        <f t="shared" si="121"/>
        <v>7.6</v>
      </c>
      <c r="BX35" s="215"/>
      <c r="BY35" s="215"/>
      <c r="BZ35" s="215">
        <v>1</v>
      </c>
      <c r="CA35" s="215"/>
      <c r="CB35" s="215"/>
      <c r="CC35" s="215"/>
      <c r="CD35" s="207">
        <f t="shared" si="122"/>
        <v>0.0017</v>
      </c>
      <c r="CE35" s="215">
        <f t="shared" si="123"/>
        <v>0.0017</v>
      </c>
      <c r="CF35" s="165">
        <f t="shared" si="124"/>
        <v>0.0017</v>
      </c>
      <c r="CG35" s="167">
        <f t="shared" si="125"/>
        <v>0.99</v>
      </c>
      <c r="CH35" s="163"/>
      <c r="CI35" s="163"/>
      <c r="CJ35" s="166"/>
      <c r="CK35" s="166"/>
      <c r="CL35" s="166"/>
      <c r="CM35" s="193"/>
      <c r="CN35" s="261"/>
      <c r="CO35" s="193"/>
      <c r="CP35" s="193">
        <f t="shared" si="126"/>
        <v>0.99</v>
      </c>
      <c r="CQ35" s="262">
        <v>1</v>
      </c>
      <c r="CR35" s="262"/>
      <c r="CS35" s="271">
        <v>1</v>
      </c>
      <c r="CT35" s="176">
        <v>53</v>
      </c>
      <c r="CU35" s="166">
        <f t="shared" si="92"/>
        <v>0.0108041680426641</v>
      </c>
      <c r="CV35" s="166">
        <f t="shared" si="93"/>
        <v>0.0108041680426641</v>
      </c>
      <c r="CW35" s="164">
        <f t="shared" si="127"/>
        <v>0.0117</v>
      </c>
      <c r="CX35" s="272">
        <f t="shared" si="94"/>
        <v>8.88</v>
      </c>
      <c r="CY35" s="273"/>
      <c r="CZ35" s="274"/>
      <c r="DA35" s="272"/>
      <c r="DB35" s="289"/>
      <c r="DC35" s="272">
        <v>3</v>
      </c>
      <c r="DD35" s="288">
        <f t="shared" si="128"/>
        <v>40.63</v>
      </c>
    </row>
    <row r="36" s="114" customFormat="1" ht="10" customHeight="1" spans="1:108">
      <c r="A36" s="161" t="s">
        <v>109</v>
      </c>
      <c r="B36" s="170">
        <v>1</v>
      </c>
      <c r="C36" s="163">
        <v>168308</v>
      </c>
      <c r="D36" s="164">
        <f t="shared" si="95"/>
        <v>0.0055</v>
      </c>
      <c r="E36" s="165">
        <f t="shared" si="96"/>
        <v>0.0055</v>
      </c>
      <c r="F36" s="166">
        <f t="shared" si="97"/>
        <v>0.00689093528785316</v>
      </c>
      <c r="G36" s="167">
        <f t="shared" si="98"/>
        <v>1.41</v>
      </c>
      <c r="H36" s="176">
        <v>183</v>
      </c>
      <c r="I36" s="190">
        <v>10853</v>
      </c>
      <c r="J36" s="191">
        <f t="shared" si="99"/>
        <v>0.0059</v>
      </c>
      <c r="K36" s="166">
        <f t="shared" si="100"/>
        <v>0.0059</v>
      </c>
      <c r="L36" s="192">
        <f t="shared" si="101"/>
        <v>0.0077</v>
      </c>
      <c r="M36" s="193">
        <f t="shared" si="102"/>
        <v>21.09</v>
      </c>
      <c r="N36" s="163"/>
      <c r="O36" s="163"/>
      <c r="P36" s="163"/>
      <c r="Q36" s="163">
        <v>101</v>
      </c>
      <c r="R36" s="166">
        <f t="shared" si="84"/>
        <v>0.0014</v>
      </c>
      <c r="S36" s="166">
        <f t="shared" si="103"/>
        <v>0.0014</v>
      </c>
      <c r="T36" s="166">
        <f t="shared" si="85"/>
        <v>0.00148698884758364</v>
      </c>
      <c r="U36" s="193">
        <f t="shared" si="86"/>
        <v>1.04</v>
      </c>
      <c r="V36" s="193"/>
      <c r="W36" s="193">
        <f t="shared" si="104"/>
        <v>1.04</v>
      </c>
      <c r="X36" s="168">
        <v>0</v>
      </c>
      <c r="Y36" s="206">
        <v>0</v>
      </c>
      <c r="Z36" s="206">
        <v>1</v>
      </c>
      <c r="AA36" s="206"/>
      <c r="AB36" s="191">
        <f t="shared" si="87"/>
        <v>0.0001</v>
      </c>
      <c r="AC36" s="204">
        <f t="shared" si="88"/>
        <v>0.0001</v>
      </c>
      <c r="AD36" s="166">
        <f t="shared" si="89"/>
        <v>0.0001</v>
      </c>
      <c r="AE36" s="193">
        <f t="shared" si="90"/>
        <v>0.13</v>
      </c>
      <c r="AF36" s="207"/>
      <c r="AG36" s="207"/>
      <c r="AH36" s="214">
        <v>1</v>
      </c>
      <c r="AI36" s="215"/>
      <c r="AJ36" s="215"/>
      <c r="AK36" s="215"/>
      <c r="AL36" s="165">
        <f t="shared" si="105"/>
        <v>0.000490918016691213</v>
      </c>
      <c r="AM36" s="165">
        <f t="shared" si="106"/>
        <v>0.000490918016691213</v>
      </c>
      <c r="AN36" s="165">
        <f t="shared" si="107"/>
        <v>0.0006</v>
      </c>
      <c r="AO36" s="225">
        <f t="shared" si="91"/>
        <v>0.12</v>
      </c>
      <c r="AP36" s="215"/>
      <c r="AQ36" s="215"/>
      <c r="AR36" s="225">
        <f t="shared" si="108"/>
        <v>0</v>
      </c>
      <c r="AS36" s="167">
        <f t="shared" si="109"/>
        <v>0.12</v>
      </c>
      <c r="AT36" s="176">
        <v>1</v>
      </c>
      <c r="AU36" s="176"/>
      <c r="AV36" s="176"/>
      <c r="AW36" s="176"/>
      <c r="AX36" s="176"/>
      <c r="AY36" s="176"/>
      <c r="AZ36" s="176"/>
      <c r="BA36" s="176"/>
      <c r="BB36" s="176"/>
      <c r="BC36" s="176"/>
      <c r="BD36" s="228">
        <f t="shared" si="110"/>
        <v>0.0067</v>
      </c>
      <c r="BE36" s="164">
        <f t="shared" si="111"/>
        <v>0.0067</v>
      </c>
      <c r="BF36" s="164">
        <f t="shared" si="112"/>
        <v>0.0071</v>
      </c>
      <c r="BG36" s="167">
        <f t="shared" si="113"/>
        <v>1.34</v>
      </c>
      <c r="BH36" s="232">
        <v>6</v>
      </c>
      <c r="BI36" s="233">
        <v>365</v>
      </c>
      <c r="BJ36" s="164">
        <f t="shared" si="114"/>
        <v>0.00701691697056959</v>
      </c>
      <c r="BK36" s="164">
        <f t="shared" si="115"/>
        <v>0.00701691697056959</v>
      </c>
      <c r="BL36" s="164">
        <f t="shared" si="116"/>
        <v>0.00727221237909902</v>
      </c>
      <c r="BM36" s="167">
        <f t="shared" si="117"/>
        <v>1.41</v>
      </c>
      <c r="BN36" s="248">
        <v>5443</v>
      </c>
      <c r="BO36" s="248">
        <v>120</v>
      </c>
      <c r="BP36" s="248">
        <v>60</v>
      </c>
      <c r="BQ36" s="234"/>
      <c r="BR36" s="234"/>
      <c r="BS36" s="234"/>
      <c r="BT36" s="164">
        <f t="shared" si="118"/>
        <v>0.00794492830054056</v>
      </c>
      <c r="BU36" s="164">
        <f t="shared" si="119"/>
        <v>0.00794492830054056</v>
      </c>
      <c r="BV36" s="164">
        <f t="shared" si="120"/>
        <v>0.0081</v>
      </c>
      <c r="BW36" s="167">
        <f t="shared" si="121"/>
        <v>10.61</v>
      </c>
      <c r="BX36" s="215"/>
      <c r="BY36" s="215"/>
      <c r="BZ36" s="215">
        <v>1</v>
      </c>
      <c r="CA36" s="215"/>
      <c r="CB36" s="215"/>
      <c r="CC36" s="215"/>
      <c r="CD36" s="207">
        <f t="shared" si="122"/>
        <v>0.0017</v>
      </c>
      <c r="CE36" s="215">
        <f t="shared" si="123"/>
        <v>0.0017</v>
      </c>
      <c r="CF36" s="165">
        <f t="shared" si="124"/>
        <v>0.0017</v>
      </c>
      <c r="CG36" s="167">
        <f t="shared" si="125"/>
        <v>0.99</v>
      </c>
      <c r="CH36" s="163"/>
      <c r="CI36" s="163"/>
      <c r="CJ36" s="166"/>
      <c r="CK36" s="166"/>
      <c r="CL36" s="166"/>
      <c r="CM36" s="193"/>
      <c r="CN36" s="261"/>
      <c r="CO36" s="193"/>
      <c r="CP36" s="193">
        <f t="shared" si="126"/>
        <v>0.99</v>
      </c>
      <c r="CQ36" s="262">
        <v>1</v>
      </c>
      <c r="CR36" s="262"/>
      <c r="CS36" s="271">
        <v>1</v>
      </c>
      <c r="CT36" s="176">
        <v>73</v>
      </c>
      <c r="CU36" s="166">
        <f t="shared" si="92"/>
        <v>0.0146377554963779</v>
      </c>
      <c r="CV36" s="166">
        <f t="shared" si="93"/>
        <v>0.0146377554963779</v>
      </c>
      <c r="CW36" s="164">
        <f t="shared" si="127"/>
        <v>0.0159</v>
      </c>
      <c r="CX36" s="272">
        <f t="shared" si="94"/>
        <v>12.07</v>
      </c>
      <c r="CY36" s="273"/>
      <c r="CZ36" s="274"/>
      <c r="DA36" s="272"/>
      <c r="DB36" s="289"/>
      <c r="DC36" s="225"/>
      <c r="DD36" s="288">
        <f t="shared" si="128"/>
        <v>50.21</v>
      </c>
    </row>
    <row r="37" s="114" customFormat="1" ht="10" customHeight="1" spans="1:108">
      <c r="A37" s="161" t="s">
        <v>110</v>
      </c>
      <c r="B37" s="170">
        <v>1</v>
      </c>
      <c r="C37" s="163">
        <v>84018</v>
      </c>
      <c r="D37" s="164">
        <f t="shared" si="95"/>
        <v>0.0027</v>
      </c>
      <c r="E37" s="165">
        <f t="shared" si="96"/>
        <v>0.0027</v>
      </c>
      <c r="F37" s="166">
        <f t="shared" si="97"/>
        <v>0.00338282277767337</v>
      </c>
      <c r="G37" s="167">
        <f t="shared" si="98"/>
        <v>0.69</v>
      </c>
      <c r="H37" s="176">
        <v>77</v>
      </c>
      <c r="I37" s="190">
        <v>4997</v>
      </c>
      <c r="J37" s="191">
        <f t="shared" si="99"/>
        <v>0.0027</v>
      </c>
      <c r="K37" s="166">
        <f t="shared" si="100"/>
        <v>0.0027</v>
      </c>
      <c r="L37" s="192">
        <f t="shared" si="101"/>
        <v>0.0035</v>
      </c>
      <c r="M37" s="193">
        <f t="shared" si="102"/>
        <v>9.59</v>
      </c>
      <c r="N37" s="163"/>
      <c r="O37" s="163"/>
      <c r="P37" s="163"/>
      <c r="Q37" s="163">
        <v>27</v>
      </c>
      <c r="R37" s="166">
        <f t="shared" si="84"/>
        <v>0.0004</v>
      </c>
      <c r="S37" s="166">
        <f t="shared" si="103"/>
        <v>0.0004</v>
      </c>
      <c r="T37" s="166">
        <f t="shared" si="85"/>
        <v>0.00042485395645247</v>
      </c>
      <c r="U37" s="193">
        <f t="shared" si="86"/>
        <v>0.3</v>
      </c>
      <c r="V37" s="193"/>
      <c r="W37" s="193">
        <f t="shared" si="104"/>
        <v>0.3</v>
      </c>
      <c r="X37" s="168">
        <v>0</v>
      </c>
      <c r="Y37" s="206">
        <v>0</v>
      </c>
      <c r="Z37" s="206">
        <v>1</v>
      </c>
      <c r="AA37" s="206"/>
      <c r="AB37" s="191">
        <f t="shared" si="87"/>
        <v>0.0001</v>
      </c>
      <c r="AC37" s="204">
        <f t="shared" si="88"/>
        <v>0.0001</v>
      </c>
      <c r="AD37" s="166">
        <f t="shared" si="89"/>
        <v>0.0001</v>
      </c>
      <c r="AE37" s="193">
        <f t="shared" si="90"/>
        <v>0.13</v>
      </c>
      <c r="AF37" s="207"/>
      <c r="AG37" s="207"/>
      <c r="AH37" s="214">
        <v>1</v>
      </c>
      <c r="AI37" s="215"/>
      <c r="AJ37" s="215"/>
      <c r="AK37" s="215"/>
      <c r="AL37" s="165">
        <f t="shared" si="105"/>
        <v>0.000490918016691213</v>
      </c>
      <c r="AM37" s="165">
        <f t="shared" si="106"/>
        <v>0.000490918016691213</v>
      </c>
      <c r="AN37" s="165">
        <f t="shared" si="107"/>
        <v>0.0006</v>
      </c>
      <c r="AO37" s="225">
        <f t="shared" si="91"/>
        <v>0.12</v>
      </c>
      <c r="AP37" s="215"/>
      <c r="AQ37" s="215"/>
      <c r="AR37" s="225">
        <f t="shared" si="108"/>
        <v>0</v>
      </c>
      <c r="AS37" s="167">
        <f t="shared" si="109"/>
        <v>0.12</v>
      </c>
      <c r="AT37" s="176">
        <v>1</v>
      </c>
      <c r="AU37" s="176"/>
      <c r="AV37" s="176"/>
      <c r="AW37" s="176"/>
      <c r="AX37" s="176"/>
      <c r="AY37" s="176"/>
      <c r="AZ37" s="176"/>
      <c r="BA37" s="176"/>
      <c r="BB37" s="176"/>
      <c r="BC37" s="176"/>
      <c r="BD37" s="228">
        <f t="shared" si="110"/>
        <v>0.0067</v>
      </c>
      <c r="BE37" s="164">
        <f t="shared" si="111"/>
        <v>0.0067</v>
      </c>
      <c r="BF37" s="164">
        <f t="shared" si="112"/>
        <v>0.0071</v>
      </c>
      <c r="BG37" s="167">
        <f t="shared" si="113"/>
        <v>1.34</v>
      </c>
      <c r="BH37" s="232"/>
      <c r="BI37" s="233">
        <v>177</v>
      </c>
      <c r="BJ37" s="164">
        <f t="shared" si="114"/>
        <v>0.000620067051318431</v>
      </c>
      <c r="BK37" s="164">
        <f t="shared" si="115"/>
        <v>0.000620067051318431</v>
      </c>
      <c r="BL37" s="164">
        <f t="shared" si="116"/>
        <v>0.000642626855267362</v>
      </c>
      <c r="BM37" s="167">
        <f t="shared" si="117"/>
        <v>0.12</v>
      </c>
      <c r="BN37" s="248">
        <v>2276</v>
      </c>
      <c r="BO37" s="248">
        <v>64</v>
      </c>
      <c r="BP37" s="248">
        <v>32</v>
      </c>
      <c r="BQ37" s="248"/>
      <c r="BR37" s="248"/>
      <c r="BS37" s="248"/>
      <c r="BT37" s="164">
        <f t="shared" si="118"/>
        <v>0.0038045617763163</v>
      </c>
      <c r="BU37" s="164">
        <f t="shared" si="119"/>
        <v>0.0038045617763163</v>
      </c>
      <c r="BV37" s="164">
        <f t="shared" si="120"/>
        <v>0.0039</v>
      </c>
      <c r="BW37" s="167">
        <f t="shared" si="121"/>
        <v>5.11</v>
      </c>
      <c r="BX37" s="215">
        <v>1</v>
      </c>
      <c r="BY37" s="215">
        <v>1</v>
      </c>
      <c r="BZ37" s="215">
        <v>1</v>
      </c>
      <c r="CA37" s="215"/>
      <c r="CB37" s="215"/>
      <c r="CC37" s="215"/>
      <c r="CD37" s="207">
        <f t="shared" si="122"/>
        <v>0.0328</v>
      </c>
      <c r="CE37" s="215">
        <f t="shared" si="123"/>
        <v>0.0328</v>
      </c>
      <c r="CF37" s="165">
        <f t="shared" si="124"/>
        <v>0.0331</v>
      </c>
      <c r="CG37" s="167">
        <f t="shared" si="125"/>
        <v>19.2</v>
      </c>
      <c r="CH37" s="163"/>
      <c r="CI37" s="163"/>
      <c r="CJ37" s="166"/>
      <c r="CK37" s="166"/>
      <c r="CL37" s="166"/>
      <c r="CM37" s="193"/>
      <c r="CN37" s="261"/>
      <c r="CO37" s="193"/>
      <c r="CP37" s="193">
        <f t="shared" si="126"/>
        <v>19.2</v>
      </c>
      <c r="CQ37" s="262">
        <v>1</v>
      </c>
      <c r="CR37" s="262"/>
      <c r="CS37" s="271">
        <v>1</v>
      </c>
      <c r="CT37" s="176">
        <v>47</v>
      </c>
      <c r="CU37" s="166">
        <f t="shared" si="92"/>
        <v>0.00965409180654998</v>
      </c>
      <c r="CV37" s="166">
        <f t="shared" si="93"/>
        <v>0.00965409180654998</v>
      </c>
      <c r="CW37" s="164">
        <f t="shared" si="127"/>
        <v>0.0105</v>
      </c>
      <c r="CX37" s="272">
        <f t="shared" si="94"/>
        <v>7.97</v>
      </c>
      <c r="CY37" s="273"/>
      <c r="CZ37" s="274"/>
      <c r="DA37" s="272"/>
      <c r="DB37" s="289"/>
      <c r="DC37" s="225"/>
      <c r="DD37" s="288">
        <f t="shared" si="128"/>
        <v>44.57</v>
      </c>
    </row>
    <row r="38" s="114" customFormat="1" ht="10" customHeight="1" spans="1:108">
      <c r="A38" s="161" t="s">
        <v>111</v>
      </c>
      <c r="B38" s="170">
        <v>1</v>
      </c>
      <c r="C38" s="163">
        <v>217848</v>
      </c>
      <c r="D38" s="164">
        <f t="shared" si="95"/>
        <v>0.0071</v>
      </c>
      <c r="E38" s="165">
        <f t="shared" si="96"/>
        <v>0.0071</v>
      </c>
      <c r="F38" s="166">
        <f t="shared" si="97"/>
        <v>0.0088955710079559</v>
      </c>
      <c r="G38" s="167">
        <f t="shared" si="98"/>
        <v>1.82</v>
      </c>
      <c r="H38" s="176">
        <v>111</v>
      </c>
      <c r="I38" s="190">
        <v>14208</v>
      </c>
      <c r="J38" s="191">
        <f t="shared" si="99"/>
        <v>0.0064</v>
      </c>
      <c r="K38" s="166">
        <f t="shared" si="100"/>
        <v>0.0064</v>
      </c>
      <c r="L38" s="192">
        <f t="shared" si="101"/>
        <v>0.0083</v>
      </c>
      <c r="M38" s="193">
        <f t="shared" si="102"/>
        <v>22.73</v>
      </c>
      <c r="N38" s="163"/>
      <c r="O38" s="163"/>
      <c r="P38" s="163"/>
      <c r="Q38" s="163">
        <v>190</v>
      </c>
      <c r="R38" s="166">
        <f t="shared" si="84"/>
        <v>0.0027</v>
      </c>
      <c r="S38" s="166">
        <f t="shared" si="103"/>
        <v>0.0027</v>
      </c>
      <c r="T38" s="166">
        <f t="shared" si="85"/>
        <v>0.00286776420605417</v>
      </c>
      <c r="U38" s="193">
        <f t="shared" si="86"/>
        <v>2.01</v>
      </c>
      <c r="V38" s="193"/>
      <c r="W38" s="193">
        <f t="shared" si="104"/>
        <v>2.01</v>
      </c>
      <c r="X38" s="168">
        <v>0</v>
      </c>
      <c r="Y38" s="206">
        <v>0</v>
      </c>
      <c r="Z38" s="206">
        <v>1</v>
      </c>
      <c r="AA38" s="206"/>
      <c r="AB38" s="191">
        <f t="shared" si="87"/>
        <v>0.0001</v>
      </c>
      <c r="AC38" s="204">
        <f t="shared" si="88"/>
        <v>0.0001</v>
      </c>
      <c r="AD38" s="166">
        <f t="shared" si="89"/>
        <v>0.0001</v>
      </c>
      <c r="AE38" s="193">
        <f t="shared" si="90"/>
        <v>0.13</v>
      </c>
      <c r="AF38" s="207"/>
      <c r="AG38" s="207"/>
      <c r="AH38" s="214">
        <v>1</v>
      </c>
      <c r="AI38" s="215"/>
      <c r="AJ38" s="215"/>
      <c r="AK38" s="215"/>
      <c r="AL38" s="165">
        <f t="shared" si="105"/>
        <v>0.000490918016691213</v>
      </c>
      <c r="AM38" s="165">
        <f t="shared" si="106"/>
        <v>0.000490918016691213</v>
      </c>
      <c r="AN38" s="165">
        <f t="shared" si="107"/>
        <v>0.0006</v>
      </c>
      <c r="AO38" s="225">
        <f t="shared" si="91"/>
        <v>0.12</v>
      </c>
      <c r="AP38" s="215"/>
      <c r="AQ38" s="215"/>
      <c r="AR38" s="225">
        <f t="shared" si="108"/>
        <v>0</v>
      </c>
      <c r="AS38" s="167">
        <f t="shared" si="109"/>
        <v>0.12</v>
      </c>
      <c r="AT38" s="176">
        <v>1</v>
      </c>
      <c r="AU38" s="176"/>
      <c r="AV38" s="176"/>
      <c r="AW38" s="176"/>
      <c r="AX38" s="176"/>
      <c r="AY38" s="176">
        <v>1</v>
      </c>
      <c r="AZ38" s="176"/>
      <c r="BA38" s="176"/>
      <c r="BB38" s="176"/>
      <c r="BC38" s="176"/>
      <c r="BD38" s="228">
        <f t="shared" si="110"/>
        <v>0.0083</v>
      </c>
      <c r="BE38" s="164">
        <f t="shared" si="111"/>
        <v>0.0083</v>
      </c>
      <c r="BF38" s="164">
        <f t="shared" si="112"/>
        <v>0.0088</v>
      </c>
      <c r="BG38" s="167">
        <f t="shared" si="113"/>
        <v>1.66</v>
      </c>
      <c r="BH38" s="232">
        <v>4</v>
      </c>
      <c r="BI38" s="233">
        <v>491</v>
      </c>
      <c r="BJ38" s="164">
        <f t="shared" si="114"/>
        <v>0.00554557142506823</v>
      </c>
      <c r="BK38" s="164">
        <f t="shared" si="115"/>
        <v>0.00554557142506823</v>
      </c>
      <c r="BL38" s="164">
        <f t="shared" si="116"/>
        <v>0.00574733509541375</v>
      </c>
      <c r="BM38" s="167">
        <f t="shared" si="117"/>
        <v>1.11</v>
      </c>
      <c r="BN38" s="248">
        <v>6270</v>
      </c>
      <c r="BO38" s="248">
        <v>112</v>
      </c>
      <c r="BP38" s="248">
        <v>56</v>
      </c>
      <c r="BQ38" s="248"/>
      <c r="BR38" s="248"/>
      <c r="BS38" s="248"/>
      <c r="BT38" s="164">
        <f t="shared" si="118"/>
        <v>0.00823655780550795</v>
      </c>
      <c r="BU38" s="164">
        <f t="shared" si="119"/>
        <v>0.00823655780550795</v>
      </c>
      <c r="BV38" s="164">
        <f t="shared" si="120"/>
        <v>0.0084</v>
      </c>
      <c r="BW38" s="167">
        <f t="shared" si="121"/>
        <v>11</v>
      </c>
      <c r="BX38" s="215"/>
      <c r="BY38" s="215">
        <v>1</v>
      </c>
      <c r="BZ38" s="215">
        <v>1</v>
      </c>
      <c r="CA38" s="215"/>
      <c r="CB38" s="215"/>
      <c r="CC38" s="215"/>
      <c r="CD38" s="207">
        <f t="shared" si="122"/>
        <v>0.0069</v>
      </c>
      <c r="CE38" s="215">
        <f t="shared" si="123"/>
        <v>0.0069</v>
      </c>
      <c r="CF38" s="165">
        <f t="shared" si="124"/>
        <v>0.007</v>
      </c>
      <c r="CG38" s="167">
        <f t="shared" si="125"/>
        <v>4.06</v>
      </c>
      <c r="CH38" s="163"/>
      <c r="CI38" s="163"/>
      <c r="CJ38" s="166"/>
      <c r="CK38" s="166"/>
      <c r="CL38" s="166"/>
      <c r="CM38" s="193"/>
      <c r="CN38" s="261"/>
      <c r="CO38" s="193"/>
      <c r="CP38" s="193">
        <f t="shared" si="126"/>
        <v>4.06</v>
      </c>
      <c r="CQ38" s="262">
        <v>1</v>
      </c>
      <c r="CR38" s="262"/>
      <c r="CS38" s="271">
        <v>1</v>
      </c>
      <c r="CT38" s="176">
        <v>55</v>
      </c>
      <c r="CU38" s="166">
        <f t="shared" si="92"/>
        <v>0.0111875267880355</v>
      </c>
      <c r="CV38" s="166">
        <f t="shared" si="93"/>
        <v>0.0111875267880355</v>
      </c>
      <c r="CW38" s="164">
        <f t="shared" si="127"/>
        <v>0.0122</v>
      </c>
      <c r="CX38" s="272">
        <f t="shared" si="94"/>
        <v>9.26</v>
      </c>
      <c r="CY38" s="273"/>
      <c r="CZ38" s="274"/>
      <c r="DA38" s="272"/>
      <c r="DB38" s="289"/>
      <c r="DC38" s="225"/>
      <c r="DD38" s="288">
        <f t="shared" si="128"/>
        <v>53.9</v>
      </c>
    </row>
    <row r="39" s="114" customFormat="1" ht="10" customHeight="1" spans="1:108">
      <c r="A39" s="161" t="s">
        <v>112</v>
      </c>
      <c r="B39" s="170">
        <v>1</v>
      </c>
      <c r="C39" s="163">
        <v>333876</v>
      </c>
      <c r="D39" s="164">
        <f t="shared" si="95"/>
        <v>0.0108</v>
      </c>
      <c r="E39" s="165">
        <f t="shared" si="96"/>
        <v>0.0108</v>
      </c>
      <c r="F39" s="166">
        <f t="shared" si="97"/>
        <v>0.0135312911106935</v>
      </c>
      <c r="G39" s="167">
        <f t="shared" si="98"/>
        <v>2.77</v>
      </c>
      <c r="H39" s="176">
        <v>146</v>
      </c>
      <c r="I39" s="190">
        <v>13435</v>
      </c>
      <c r="J39" s="191">
        <f t="shared" si="99"/>
        <v>0.0065</v>
      </c>
      <c r="K39" s="166">
        <f t="shared" si="100"/>
        <v>0.0065</v>
      </c>
      <c r="L39" s="192">
        <f t="shared" si="101"/>
        <v>0.0084</v>
      </c>
      <c r="M39" s="193">
        <f t="shared" si="102"/>
        <v>23.01</v>
      </c>
      <c r="N39" s="163"/>
      <c r="O39" s="163"/>
      <c r="P39" s="163"/>
      <c r="Q39" s="163">
        <v>178</v>
      </c>
      <c r="R39" s="166">
        <f t="shared" si="84"/>
        <v>0.0025</v>
      </c>
      <c r="S39" s="166">
        <f t="shared" si="103"/>
        <v>0.0025</v>
      </c>
      <c r="T39" s="166">
        <f t="shared" si="85"/>
        <v>0.00265533722782794</v>
      </c>
      <c r="U39" s="193">
        <f t="shared" si="86"/>
        <v>1.86</v>
      </c>
      <c r="V39" s="193"/>
      <c r="W39" s="193">
        <f t="shared" si="104"/>
        <v>1.86</v>
      </c>
      <c r="X39" s="168">
        <v>0</v>
      </c>
      <c r="Y39" s="206">
        <v>0</v>
      </c>
      <c r="Z39" s="206">
        <v>1</v>
      </c>
      <c r="AA39" s="206"/>
      <c r="AB39" s="191">
        <f t="shared" si="87"/>
        <v>0.0001</v>
      </c>
      <c r="AC39" s="204">
        <f t="shared" si="88"/>
        <v>0.0001</v>
      </c>
      <c r="AD39" s="166">
        <f t="shared" si="89"/>
        <v>0.0001</v>
      </c>
      <c r="AE39" s="193">
        <f t="shared" si="90"/>
        <v>0.13</v>
      </c>
      <c r="AF39" s="207"/>
      <c r="AG39" s="207"/>
      <c r="AH39" s="214">
        <v>1</v>
      </c>
      <c r="AI39" s="215"/>
      <c r="AJ39" s="215"/>
      <c r="AK39" s="215"/>
      <c r="AL39" s="165">
        <f t="shared" si="105"/>
        <v>0.000490918016691213</v>
      </c>
      <c r="AM39" s="165">
        <f t="shared" si="106"/>
        <v>0.000490918016691213</v>
      </c>
      <c r="AN39" s="165">
        <f t="shared" si="107"/>
        <v>0.0006</v>
      </c>
      <c r="AO39" s="225">
        <f t="shared" si="91"/>
        <v>0.12</v>
      </c>
      <c r="AP39" s="215"/>
      <c r="AQ39" s="215"/>
      <c r="AR39" s="225">
        <f t="shared" si="108"/>
        <v>0</v>
      </c>
      <c r="AS39" s="167">
        <f t="shared" si="109"/>
        <v>0.12</v>
      </c>
      <c r="AT39" s="176">
        <v>1</v>
      </c>
      <c r="AU39" s="176"/>
      <c r="AV39" s="176"/>
      <c r="AW39" s="176"/>
      <c r="AX39" s="176"/>
      <c r="AY39" s="176"/>
      <c r="AZ39" s="176"/>
      <c r="BA39" s="176"/>
      <c r="BB39" s="176"/>
      <c r="BC39" s="176"/>
      <c r="BD39" s="228">
        <f t="shared" si="110"/>
        <v>0.0067</v>
      </c>
      <c r="BE39" s="164">
        <f t="shared" si="111"/>
        <v>0.0067</v>
      </c>
      <c r="BF39" s="164">
        <f t="shared" si="112"/>
        <v>0.0071</v>
      </c>
      <c r="BG39" s="167">
        <f t="shared" si="113"/>
        <v>1.34</v>
      </c>
      <c r="BH39" s="232">
        <v>6</v>
      </c>
      <c r="BI39" s="233">
        <v>545</v>
      </c>
      <c r="BJ39" s="164">
        <f t="shared" si="114"/>
        <v>0.00764749363292731</v>
      </c>
      <c r="BK39" s="164">
        <f t="shared" si="115"/>
        <v>0.00764749363292731</v>
      </c>
      <c r="BL39" s="164">
        <f t="shared" si="116"/>
        <v>0.00792573121496413</v>
      </c>
      <c r="BM39" s="167">
        <f t="shared" si="117"/>
        <v>1.54</v>
      </c>
      <c r="BN39" s="248">
        <v>6148</v>
      </c>
      <c r="BO39" s="248">
        <v>120</v>
      </c>
      <c r="BP39" s="248">
        <v>60</v>
      </c>
      <c r="BQ39" s="234"/>
      <c r="BR39" s="234"/>
      <c r="BS39" s="234"/>
      <c r="BT39" s="164">
        <f t="shared" si="118"/>
        <v>0.00843154621105777</v>
      </c>
      <c r="BU39" s="164">
        <f t="shared" si="119"/>
        <v>0.00843154621105777</v>
      </c>
      <c r="BV39" s="164">
        <f t="shared" si="120"/>
        <v>0.0086</v>
      </c>
      <c r="BW39" s="167">
        <f t="shared" si="121"/>
        <v>11.26</v>
      </c>
      <c r="BX39" s="215"/>
      <c r="BY39" s="215"/>
      <c r="BZ39" s="215">
        <v>1</v>
      </c>
      <c r="CA39" s="215"/>
      <c r="CB39" s="215"/>
      <c r="CC39" s="215"/>
      <c r="CD39" s="207">
        <f t="shared" si="122"/>
        <v>0.0017</v>
      </c>
      <c r="CE39" s="215">
        <f t="shared" si="123"/>
        <v>0.0017</v>
      </c>
      <c r="CF39" s="165">
        <f t="shared" si="124"/>
        <v>0.0017</v>
      </c>
      <c r="CG39" s="167">
        <f t="shared" si="125"/>
        <v>0.99</v>
      </c>
      <c r="CH39" s="163"/>
      <c r="CI39" s="163"/>
      <c r="CJ39" s="166"/>
      <c r="CK39" s="166"/>
      <c r="CL39" s="166"/>
      <c r="CM39" s="193"/>
      <c r="CN39" s="261"/>
      <c r="CO39" s="193"/>
      <c r="CP39" s="193">
        <f t="shared" si="126"/>
        <v>0.99</v>
      </c>
      <c r="CQ39" s="262">
        <v>1</v>
      </c>
      <c r="CR39" s="262"/>
      <c r="CS39" s="271">
        <v>1</v>
      </c>
      <c r="CT39" s="176">
        <v>53</v>
      </c>
      <c r="CU39" s="166">
        <f t="shared" si="92"/>
        <v>0.0108041680426641</v>
      </c>
      <c r="CV39" s="166">
        <f t="shared" si="93"/>
        <v>0.0108041680426641</v>
      </c>
      <c r="CW39" s="164">
        <f t="shared" si="127"/>
        <v>0.0117</v>
      </c>
      <c r="CX39" s="272">
        <f t="shared" si="94"/>
        <v>8.88</v>
      </c>
      <c r="CY39" s="273"/>
      <c r="CZ39" s="274"/>
      <c r="DA39" s="272"/>
      <c r="DB39" s="289"/>
      <c r="DC39" s="225"/>
      <c r="DD39" s="288">
        <f t="shared" si="128"/>
        <v>51.9</v>
      </c>
    </row>
    <row r="40" s="114" customFormat="1" ht="10" customHeight="1" spans="1:108">
      <c r="A40" s="161" t="s">
        <v>113</v>
      </c>
      <c r="B40" s="170">
        <v>1</v>
      </c>
      <c r="C40" s="163">
        <v>126146</v>
      </c>
      <c r="D40" s="164">
        <f t="shared" si="95"/>
        <v>0.0041</v>
      </c>
      <c r="E40" s="165">
        <f t="shared" si="96"/>
        <v>0.0041</v>
      </c>
      <c r="F40" s="166">
        <f t="shared" si="97"/>
        <v>0.00513687903276327</v>
      </c>
      <c r="G40" s="167">
        <f t="shared" si="98"/>
        <v>1.05</v>
      </c>
      <c r="H40" s="176">
        <v>41</v>
      </c>
      <c r="I40" s="190">
        <v>7404</v>
      </c>
      <c r="J40" s="191">
        <f t="shared" si="99"/>
        <v>0.0032</v>
      </c>
      <c r="K40" s="166">
        <f t="shared" si="100"/>
        <v>0.0032</v>
      </c>
      <c r="L40" s="192">
        <f t="shared" si="101"/>
        <v>0.0042</v>
      </c>
      <c r="M40" s="193">
        <f t="shared" si="102"/>
        <v>11.5</v>
      </c>
      <c r="N40" s="163"/>
      <c r="O40" s="163"/>
      <c r="P40" s="163"/>
      <c r="Q40" s="163">
        <v>53</v>
      </c>
      <c r="R40" s="166">
        <f t="shared" si="84"/>
        <v>0.0008</v>
      </c>
      <c r="S40" s="166">
        <f t="shared" si="103"/>
        <v>0.0008</v>
      </c>
      <c r="T40" s="166">
        <f t="shared" si="85"/>
        <v>0.000849707912904939</v>
      </c>
      <c r="U40" s="193">
        <f t="shared" si="86"/>
        <v>0.6</v>
      </c>
      <c r="V40" s="193"/>
      <c r="W40" s="193">
        <f t="shared" si="104"/>
        <v>0.6</v>
      </c>
      <c r="X40" s="168">
        <v>0</v>
      </c>
      <c r="Y40" s="206">
        <v>0</v>
      </c>
      <c r="Z40" s="206">
        <v>1</v>
      </c>
      <c r="AA40" s="206"/>
      <c r="AB40" s="191">
        <f t="shared" si="87"/>
        <v>0.0001</v>
      </c>
      <c r="AC40" s="204">
        <f t="shared" si="88"/>
        <v>0.0001</v>
      </c>
      <c r="AD40" s="166">
        <f t="shared" si="89"/>
        <v>0.0001</v>
      </c>
      <c r="AE40" s="193">
        <f t="shared" si="90"/>
        <v>0.13</v>
      </c>
      <c r="AF40" s="207"/>
      <c r="AG40" s="207"/>
      <c r="AH40" s="214">
        <v>1</v>
      </c>
      <c r="AI40" s="215"/>
      <c r="AJ40" s="215"/>
      <c r="AK40" s="215"/>
      <c r="AL40" s="165">
        <f t="shared" si="105"/>
        <v>0.000490918016691213</v>
      </c>
      <c r="AM40" s="165">
        <f t="shared" si="106"/>
        <v>0.000490918016691213</v>
      </c>
      <c r="AN40" s="165">
        <f t="shared" si="107"/>
        <v>0.0006</v>
      </c>
      <c r="AO40" s="225">
        <f t="shared" si="91"/>
        <v>0.12</v>
      </c>
      <c r="AP40" s="215"/>
      <c r="AQ40" s="215"/>
      <c r="AR40" s="225">
        <f t="shared" si="108"/>
        <v>0</v>
      </c>
      <c r="AS40" s="167">
        <f t="shared" si="109"/>
        <v>0.12</v>
      </c>
      <c r="AT40" s="176">
        <v>1</v>
      </c>
      <c r="AU40" s="176"/>
      <c r="AV40" s="176"/>
      <c r="AW40" s="176"/>
      <c r="AX40" s="176"/>
      <c r="AY40" s="176"/>
      <c r="AZ40" s="176"/>
      <c r="BA40" s="176"/>
      <c r="BB40" s="176"/>
      <c r="BC40" s="176"/>
      <c r="BD40" s="228">
        <f t="shared" si="110"/>
        <v>0.0067</v>
      </c>
      <c r="BE40" s="164">
        <f t="shared" si="111"/>
        <v>0.0067</v>
      </c>
      <c r="BF40" s="164">
        <f t="shared" si="112"/>
        <v>0.0071</v>
      </c>
      <c r="BG40" s="167">
        <f t="shared" si="113"/>
        <v>1.34</v>
      </c>
      <c r="BH40" s="232">
        <v>1</v>
      </c>
      <c r="BI40" s="233">
        <v>247</v>
      </c>
      <c r="BJ40" s="164">
        <f t="shared" si="114"/>
        <v>0.00182166591347788</v>
      </c>
      <c r="BK40" s="164">
        <f t="shared" si="115"/>
        <v>0.00182166591347788</v>
      </c>
      <c r="BL40" s="164">
        <f t="shared" si="116"/>
        <v>0.00188794330361033</v>
      </c>
      <c r="BM40" s="167">
        <f t="shared" si="117"/>
        <v>0.37</v>
      </c>
      <c r="BN40" s="248">
        <v>3050</v>
      </c>
      <c r="BO40" s="248">
        <v>84</v>
      </c>
      <c r="BP40" s="248">
        <v>42</v>
      </c>
      <c r="BQ40" s="248"/>
      <c r="BR40" s="248"/>
      <c r="BS40" s="248"/>
      <c r="BT40" s="164">
        <f t="shared" si="118"/>
        <v>0.00503679977664203</v>
      </c>
      <c r="BU40" s="164">
        <f t="shared" si="119"/>
        <v>0.00503679977664203</v>
      </c>
      <c r="BV40" s="164">
        <f t="shared" si="120"/>
        <v>0.0051</v>
      </c>
      <c r="BW40" s="167">
        <f t="shared" si="121"/>
        <v>6.68</v>
      </c>
      <c r="BX40" s="215"/>
      <c r="BY40" s="215"/>
      <c r="BZ40" s="215">
        <v>1</v>
      </c>
      <c r="CA40" s="215"/>
      <c r="CB40" s="215"/>
      <c r="CC40" s="215"/>
      <c r="CD40" s="207">
        <f t="shared" si="122"/>
        <v>0.0017</v>
      </c>
      <c r="CE40" s="215">
        <f t="shared" si="123"/>
        <v>0.0017</v>
      </c>
      <c r="CF40" s="165">
        <f t="shared" si="124"/>
        <v>0.0017</v>
      </c>
      <c r="CG40" s="167">
        <f t="shared" si="125"/>
        <v>0.99</v>
      </c>
      <c r="CH40" s="163"/>
      <c r="CI40" s="163"/>
      <c r="CJ40" s="166"/>
      <c r="CK40" s="166"/>
      <c r="CL40" s="166"/>
      <c r="CM40" s="193"/>
      <c r="CN40" s="261"/>
      <c r="CO40" s="193"/>
      <c r="CP40" s="193">
        <f t="shared" si="126"/>
        <v>0.99</v>
      </c>
      <c r="CQ40" s="262">
        <v>1</v>
      </c>
      <c r="CR40" s="262"/>
      <c r="CS40" s="271">
        <v>1</v>
      </c>
      <c r="CT40" s="176">
        <v>53</v>
      </c>
      <c r="CU40" s="166">
        <f t="shared" si="92"/>
        <v>0.0108041680426641</v>
      </c>
      <c r="CV40" s="166">
        <f t="shared" si="93"/>
        <v>0.0108041680426641</v>
      </c>
      <c r="CW40" s="164">
        <f t="shared" si="127"/>
        <v>0.0117</v>
      </c>
      <c r="CX40" s="272">
        <f t="shared" si="94"/>
        <v>8.88</v>
      </c>
      <c r="CY40" s="273"/>
      <c r="CZ40" s="274"/>
      <c r="DA40" s="272"/>
      <c r="DB40" s="289"/>
      <c r="DC40" s="225"/>
      <c r="DD40" s="288">
        <f t="shared" si="128"/>
        <v>31.66</v>
      </c>
    </row>
    <row r="41" s="114" customFormat="1" ht="10" customHeight="1" spans="1:108">
      <c r="A41" s="161" t="s">
        <v>114</v>
      </c>
      <c r="B41" s="170">
        <v>1</v>
      </c>
      <c r="C41" s="163">
        <v>83327</v>
      </c>
      <c r="D41" s="164">
        <f t="shared" si="95"/>
        <v>0.0027</v>
      </c>
      <c r="E41" s="165">
        <f t="shared" si="96"/>
        <v>0.0027</v>
      </c>
      <c r="F41" s="166">
        <f t="shared" si="97"/>
        <v>0.00338282277767337</v>
      </c>
      <c r="G41" s="167">
        <f t="shared" si="98"/>
        <v>0.69</v>
      </c>
      <c r="H41" s="176">
        <v>38</v>
      </c>
      <c r="I41" s="190">
        <v>6342</v>
      </c>
      <c r="J41" s="191">
        <f t="shared" si="99"/>
        <v>0.0028</v>
      </c>
      <c r="K41" s="166">
        <f t="shared" si="100"/>
        <v>0.0028</v>
      </c>
      <c r="L41" s="192">
        <f t="shared" si="101"/>
        <v>0.0036</v>
      </c>
      <c r="M41" s="193">
        <f t="shared" si="102"/>
        <v>9.86</v>
      </c>
      <c r="N41" s="163"/>
      <c r="O41" s="163"/>
      <c r="P41" s="163"/>
      <c r="Q41" s="163">
        <v>66</v>
      </c>
      <c r="R41" s="166">
        <f t="shared" si="84"/>
        <v>0.0009</v>
      </c>
      <c r="S41" s="166">
        <f t="shared" si="103"/>
        <v>0.0009</v>
      </c>
      <c r="T41" s="166">
        <f t="shared" si="85"/>
        <v>0.000955921402018057</v>
      </c>
      <c r="U41" s="193">
        <f t="shared" si="86"/>
        <v>0.67</v>
      </c>
      <c r="V41" s="193"/>
      <c r="W41" s="193">
        <f t="shared" si="104"/>
        <v>0.67</v>
      </c>
      <c r="X41" s="168">
        <v>0</v>
      </c>
      <c r="Y41" s="206">
        <v>0</v>
      </c>
      <c r="Z41" s="206">
        <v>1</v>
      </c>
      <c r="AA41" s="206"/>
      <c r="AB41" s="191">
        <f t="shared" si="87"/>
        <v>0.0001</v>
      </c>
      <c r="AC41" s="204">
        <f t="shared" si="88"/>
        <v>0.0001</v>
      </c>
      <c r="AD41" s="166">
        <f t="shared" si="89"/>
        <v>0.0001</v>
      </c>
      <c r="AE41" s="193">
        <f t="shared" si="90"/>
        <v>0.13</v>
      </c>
      <c r="AF41" s="207"/>
      <c r="AG41" s="207"/>
      <c r="AH41" s="214">
        <v>1</v>
      </c>
      <c r="AI41" s="215"/>
      <c r="AJ41" s="215"/>
      <c r="AK41" s="215"/>
      <c r="AL41" s="165">
        <f t="shared" si="105"/>
        <v>0.000490918016691213</v>
      </c>
      <c r="AM41" s="165">
        <f t="shared" si="106"/>
        <v>0.000490918016691213</v>
      </c>
      <c r="AN41" s="165">
        <f t="shared" si="107"/>
        <v>0.0006</v>
      </c>
      <c r="AO41" s="225">
        <f t="shared" si="91"/>
        <v>0.12</v>
      </c>
      <c r="AP41" s="215"/>
      <c r="AQ41" s="215"/>
      <c r="AR41" s="225">
        <f t="shared" si="108"/>
        <v>0</v>
      </c>
      <c r="AS41" s="167">
        <f t="shared" si="109"/>
        <v>0.12</v>
      </c>
      <c r="AT41" s="176">
        <v>1</v>
      </c>
      <c r="AU41" s="176"/>
      <c r="AV41" s="176"/>
      <c r="AW41" s="176"/>
      <c r="AX41" s="176"/>
      <c r="AY41" s="176"/>
      <c r="AZ41" s="176"/>
      <c r="BA41" s="176"/>
      <c r="BB41" s="176"/>
      <c r="BC41" s="176"/>
      <c r="BD41" s="228">
        <f t="shared" si="110"/>
        <v>0.0067</v>
      </c>
      <c r="BE41" s="164">
        <f t="shared" si="111"/>
        <v>0.0067</v>
      </c>
      <c r="BF41" s="164">
        <f t="shared" si="112"/>
        <v>0.0071</v>
      </c>
      <c r="BG41" s="167">
        <f t="shared" si="113"/>
        <v>1.34</v>
      </c>
      <c r="BH41" s="232">
        <v>2</v>
      </c>
      <c r="BI41" s="233">
        <v>188</v>
      </c>
      <c r="BJ41" s="164">
        <f t="shared" si="114"/>
        <v>0.00257135150094762</v>
      </c>
      <c r="BK41" s="164">
        <f t="shared" si="115"/>
        <v>0.00257135150094762</v>
      </c>
      <c r="BL41" s="164">
        <f t="shared" si="116"/>
        <v>0.00266490458624996</v>
      </c>
      <c r="BM41" s="167">
        <f t="shared" si="117"/>
        <v>0.52</v>
      </c>
      <c r="BN41" s="248">
        <v>2321</v>
      </c>
      <c r="BO41" s="248">
        <v>80</v>
      </c>
      <c r="BP41" s="248">
        <v>40</v>
      </c>
      <c r="BQ41" s="248"/>
      <c r="BR41" s="248"/>
      <c r="BS41" s="248"/>
      <c r="BT41" s="164">
        <f t="shared" si="118"/>
        <v>0.00439401741881946</v>
      </c>
      <c r="BU41" s="164">
        <f t="shared" si="119"/>
        <v>0.00439401741881946</v>
      </c>
      <c r="BV41" s="164">
        <f t="shared" si="120"/>
        <v>0.0045</v>
      </c>
      <c r="BW41" s="167">
        <f t="shared" si="121"/>
        <v>5.89</v>
      </c>
      <c r="BX41" s="215"/>
      <c r="BY41" s="215"/>
      <c r="BZ41" s="215">
        <v>1</v>
      </c>
      <c r="CA41" s="215"/>
      <c r="CB41" s="215"/>
      <c r="CC41" s="215"/>
      <c r="CD41" s="207">
        <f t="shared" si="122"/>
        <v>0.0017</v>
      </c>
      <c r="CE41" s="215">
        <f t="shared" si="123"/>
        <v>0.0017</v>
      </c>
      <c r="CF41" s="165">
        <f t="shared" si="124"/>
        <v>0.0017</v>
      </c>
      <c r="CG41" s="167">
        <f t="shared" si="125"/>
        <v>0.99</v>
      </c>
      <c r="CH41" s="163"/>
      <c r="CI41" s="163"/>
      <c r="CJ41" s="166"/>
      <c r="CK41" s="166"/>
      <c r="CL41" s="166"/>
      <c r="CM41" s="193"/>
      <c r="CN41" s="261"/>
      <c r="CO41" s="193"/>
      <c r="CP41" s="193">
        <f t="shared" si="126"/>
        <v>0.99</v>
      </c>
      <c r="CQ41" s="262">
        <v>1</v>
      </c>
      <c r="CR41" s="262"/>
      <c r="CS41" s="271">
        <v>1</v>
      </c>
      <c r="CT41" s="176">
        <v>47</v>
      </c>
      <c r="CU41" s="166">
        <f t="shared" si="92"/>
        <v>0.00965409180654998</v>
      </c>
      <c r="CV41" s="166">
        <f t="shared" si="93"/>
        <v>0.00965409180654998</v>
      </c>
      <c r="CW41" s="164">
        <f t="shared" si="127"/>
        <v>0.0105</v>
      </c>
      <c r="CX41" s="272">
        <f t="shared" si="94"/>
        <v>7.97</v>
      </c>
      <c r="CY41" s="273"/>
      <c r="CZ41" s="274"/>
      <c r="DA41" s="272"/>
      <c r="DB41" s="289"/>
      <c r="DC41" s="225"/>
      <c r="DD41" s="288">
        <f t="shared" si="128"/>
        <v>28.18</v>
      </c>
    </row>
    <row r="42" s="114" customFormat="1" ht="10" customHeight="1" spans="1:108">
      <c r="A42" s="161" t="s">
        <v>115</v>
      </c>
      <c r="B42" s="170">
        <v>1</v>
      </c>
      <c r="C42" s="163">
        <v>349300</v>
      </c>
      <c r="D42" s="164">
        <f t="shared" si="95"/>
        <v>0.0113</v>
      </c>
      <c r="E42" s="165">
        <f t="shared" si="96"/>
        <v>0.0113</v>
      </c>
      <c r="F42" s="166">
        <f t="shared" si="97"/>
        <v>0.0141577397732256</v>
      </c>
      <c r="G42" s="167">
        <f t="shared" si="98"/>
        <v>2.9</v>
      </c>
      <c r="H42" s="176">
        <v>384</v>
      </c>
      <c r="I42" s="190">
        <v>11508</v>
      </c>
      <c r="J42" s="191">
        <f t="shared" si="99"/>
        <v>0.0083</v>
      </c>
      <c r="K42" s="166">
        <f t="shared" si="100"/>
        <v>0.0083</v>
      </c>
      <c r="L42" s="192">
        <f t="shared" si="101"/>
        <v>0.0108</v>
      </c>
      <c r="M42" s="193">
        <f t="shared" si="102"/>
        <v>29.58</v>
      </c>
      <c r="N42" s="163"/>
      <c r="O42" s="163"/>
      <c r="P42" s="163"/>
      <c r="Q42" s="163">
        <v>114</v>
      </c>
      <c r="R42" s="166">
        <f t="shared" si="84"/>
        <v>0.0016</v>
      </c>
      <c r="S42" s="166">
        <f t="shared" si="103"/>
        <v>0.0016</v>
      </c>
      <c r="T42" s="166">
        <f t="shared" si="85"/>
        <v>0.00169941582580988</v>
      </c>
      <c r="U42" s="193">
        <f t="shared" si="86"/>
        <v>1.19</v>
      </c>
      <c r="V42" s="193"/>
      <c r="W42" s="193">
        <f t="shared" si="104"/>
        <v>1.19</v>
      </c>
      <c r="X42" s="168">
        <v>0</v>
      </c>
      <c r="Y42" s="206">
        <v>0</v>
      </c>
      <c r="Z42" s="206">
        <v>1</v>
      </c>
      <c r="AA42" s="206"/>
      <c r="AB42" s="191">
        <f t="shared" si="87"/>
        <v>0.0001</v>
      </c>
      <c r="AC42" s="204">
        <f t="shared" si="88"/>
        <v>0.0001</v>
      </c>
      <c r="AD42" s="166">
        <f t="shared" si="89"/>
        <v>0.0001</v>
      </c>
      <c r="AE42" s="193">
        <f t="shared" si="90"/>
        <v>0.13</v>
      </c>
      <c r="AF42" s="207"/>
      <c r="AG42" s="207"/>
      <c r="AH42" s="214">
        <v>1</v>
      </c>
      <c r="AI42" s="215">
        <v>1</v>
      </c>
      <c r="AJ42" s="215"/>
      <c r="AK42" s="215"/>
      <c r="AL42" s="165">
        <f t="shared" si="105"/>
        <v>0.0103092783505155</v>
      </c>
      <c r="AM42" s="165">
        <f t="shared" si="106"/>
        <v>0.0103092783505155</v>
      </c>
      <c r="AN42" s="165">
        <f t="shared" si="107"/>
        <v>0.013</v>
      </c>
      <c r="AO42" s="225">
        <f t="shared" si="91"/>
        <v>2.65</v>
      </c>
      <c r="AP42" s="215"/>
      <c r="AQ42" s="215"/>
      <c r="AR42" s="225">
        <f t="shared" si="108"/>
        <v>0</v>
      </c>
      <c r="AS42" s="167">
        <f t="shared" si="109"/>
        <v>2.65</v>
      </c>
      <c r="AT42" s="176">
        <v>1</v>
      </c>
      <c r="AU42" s="176"/>
      <c r="AV42" s="176"/>
      <c r="AW42" s="176"/>
      <c r="AX42" s="176"/>
      <c r="AY42" s="176"/>
      <c r="AZ42" s="176"/>
      <c r="BA42" s="176"/>
      <c r="BB42" s="176"/>
      <c r="BC42" s="176"/>
      <c r="BD42" s="228">
        <f t="shared" si="110"/>
        <v>0.0067</v>
      </c>
      <c r="BE42" s="164">
        <f t="shared" si="111"/>
        <v>0.0067</v>
      </c>
      <c r="BF42" s="164">
        <f t="shared" si="112"/>
        <v>0.0071</v>
      </c>
      <c r="BG42" s="167">
        <f t="shared" si="113"/>
        <v>1.34</v>
      </c>
      <c r="BH42" s="232">
        <v>24</v>
      </c>
      <c r="BI42" s="233">
        <v>535</v>
      </c>
      <c r="BJ42" s="164">
        <f t="shared" si="114"/>
        <v>0.0248272044784956</v>
      </c>
      <c r="BK42" s="164">
        <f t="shared" si="115"/>
        <v>0.0248272044784956</v>
      </c>
      <c r="BL42" s="164">
        <f t="shared" si="116"/>
        <v>0.0257304888320892</v>
      </c>
      <c r="BM42" s="167">
        <f t="shared" si="117"/>
        <v>4.99</v>
      </c>
      <c r="BN42" s="248">
        <v>5560</v>
      </c>
      <c r="BO42" s="248">
        <v>88</v>
      </c>
      <c r="BP42" s="248">
        <v>44</v>
      </c>
      <c r="BQ42" s="248"/>
      <c r="BR42" s="248"/>
      <c r="BS42" s="248"/>
      <c r="BT42" s="164">
        <f t="shared" si="118"/>
        <v>0.00690889631692014</v>
      </c>
      <c r="BU42" s="164">
        <f t="shared" si="119"/>
        <v>0.00690889631692014</v>
      </c>
      <c r="BV42" s="164">
        <f t="shared" si="120"/>
        <v>0.007</v>
      </c>
      <c r="BW42" s="167">
        <f t="shared" si="121"/>
        <v>9.17</v>
      </c>
      <c r="BX42" s="215"/>
      <c r="BY42" s="215"/>
      <c r="BZ42" s="215">
        <v>1</v>
      </c>
      <c r="CA42" s="215"/>
      <c r="CB42" s="215"/>
      <c r="CC42" s="215"/>
      <c r="CD42" s="207">
        <f t="shared" si="122"/>
        <v>0.0017</v>
      </c>
      <c r="CE42" s="215">
        <f t="shared" si="123"/>
        <v>0.0017</v>
      </c>
      <c r="CF42" s="165">
        <f t="shared" si="124"/>
        <v>0.0017</v>
      </c>
      <c r="CG42" s="167">
        <f t="shared" si="125"/>
        <v>0.99</v>
      </c>
      <c r="CH42" s="163"/>
      <c r="CI42" s="163"/>
      <c r="CJ42" s="166"/>
      <c r="CK42" s="166"/>
      <c r="CL42" s="166"/>
      <c r="CM42" s="193"/>
      <c r="CN42" s="261"/>
      <c r="CO42" s="193"/>
      <c r="CP42" s="193">
        <f t="shared" si="126"/>
        <v>0.99</v>
      </c>
      <c r="CQ42" s="262">
        <v>1</v>
      </c>
      <c r="CR42" s="262">
        <v>1</v>
      </c>
      <c r="CS42" s="271">
        <v>1</v>
      </c>
      <c r="CT42" s="176">
        <v>53</v>
      </c>
      <c r="CU42" s="166">
        <f t="shared" si="92"/>
        <v>0.0188041680426641</v>
      </c>
      <c r="CV42" s="166">
        <f t="shared" si="93"/>
        <v>0.0188041680426641</v>
      </c>
      <c r="CW42" s="164">
        <f t="shared" si="127"/>
        <v>0.0204</v>
      </c>
      <c r="CX42" s="272">
        <f t="shared" si="94"/>
        <v>15.49</v>
      </c>
      <c r="CY42" s="273"/>
      <c r="CZ42" s="274"/>
      <c r="DA42" s="272"/>
      <c r="DB42" s="289"/>
      <c r="DC42" s="225"/>
      <c r="DD42" s="288">
        <f t="shared" si="128"/>
        <v>68.43</v>
      </c>
    </row>
    <row r="43" s="114" customFormat="1" ht="10" customHeight="1" spans="1:108">
      <c r="A43" s="161" t="s">
        <v>116</v>
      </c>
      <c r="B43" s="170">
        <v>1</v>
      </c>
      <c r="C43" s="163">
        <v>84547</v>
      </c>
      <c r="D43" s="164">
        <f t="shared" si="95"/>
        <v>0.0027</v>
      </c>
      <c r="E43" s="165">
        <f t="shared" si="96"/>
        <v>0.0027</v>
      </c>
      <c r="F43" s="166">
        <f t="shared" si="97"/>
        <v>0.00338282277767337</v>
      </c>
      <c r="G43" s="167">
        <f t="shared" si="98"/>
        <v>0.69</v>
      </c>
      <c r="H43" s="176">
        <v>41</v>
      </c>
      <c r="I43" s="190">
        <v>3321</v>
      </c>
      <c r="J43" s="191">
        <f t="shared" si="99"/>
        <v>0.0017</v>
      </c>
      <c r="K43" s="166">
        <f t="shared" si="100"/>
        <v>0.0017</v>
      </c>
      <c r="L43" s="192">
        <f t="shared" si="101"/>
        <v>0.0022</v>
      </c>
      <c r="M43" s="193">
        <f t="shared" si="102"/>
        <v>6.03</v>
      </c>
      <c r="N43" s="163"/>
      <c r="O43" s="163"/>
      <c r="P43" s="163"/>
      <c r="Q43" s="163">
        <v>21</v>
      </c>
      <c r="R43" s="166">
        <f t="shared" si="84"/>
        <v>0.0003</v>
      </c>
      <c r="S43" s="166">
        <f t="shared" si="103"/>
        <v>0.0003</v>
      </c>
      <c r="T43" s="166">
        <f t="shared" si="85"/>
        <v>0.000318640467339352</v>
      </c>
      <c r="U43" s="193">
        <f t="shared" si="86"/>
        <v>0.22</v>
      </c>
      <c r="V43" s="193"/>
      <c r="W43" s="193">
        <f t="shared" si="104"/>
        <v>0.22</v>
      </c>
      <c r="X43" s="168">
        <v>0</v>
      </c>
      <c r="Y43" s="206">
        <v>0</v>
      </c>
      <c r="Z43" s="206">
        <v>1</v>
      </c>
      <c r="AA43" s="206"/>
      <c r="AB43" s="191">
        <f t="shared" si="87"/>
        <v>0.0001</v>
      </c>
      <c r="AC43" s="204">
        <f t="shared" si="88"/>
        <v>0.0001</v>
      </c>
      <c r="AD43" s="166">
        <f t="shared" si="89"/>
        <v>0.0001</v>
      </c>
      <c r="AE43" s="193">
        <f t="shared" si="90"/>
        <v>0.13</v>
      </c>
      <c r="AF43" s="207"/>
      <c r="AG43" s="207"/>
      <c r="AH43" s="214">
        <v>1</v>
      </c>
      <c r="AI43" s="215"/>
      <c r="AJ43" s="215"/>
      <c r="AK43" s="215"/>
      <c r="AL43" s="165">
        <f t="shared" si="105"/>
        <v>0.000490918016691213</v>
      </c>
      <c r="AM43" s="165">
        <f t="shared" si="106"/>
        <v>0.000490918016691213</v>
      </c>
      <c r="AN43" s="165">
        <f t="shared" si="107"/>
        <v>0.0006</v>
      </c>
      <c r="AO43" s="225">
        <f t="shared" si="91"/>
        <v>0.12</v>
      </c>
      <c r="AP43" s="215"/>
      <c r="AQ43" s="215"/>
      <c r="AR43" s="225">
        <f t="shared" si="108"/>
        <v>0</v>
      </c>
      <c r="AS43" s="167">
        <f t="shared" si="109"/>
        <v>0.12</v>
      </c>
      <c r="AT43" s="176">
        <v>1</v>
      </c>
      <c r="AU43" s="176"/>
      <c r="AV43" s="176"/>
      <c r="AW43" s="176"/>
      <c r="AX43" s="176"/>
      <c r="AY43" s="176"/>
      <c r="AZ43" s="176"/>
      <c r="BA43" s="176"/>
      <c r="BB43" s="176"/>
      <c r="BC43" s="176"/>
      <c r="BD43" s="228">
        <f t="shared" si="110"/>
        <v>0.0067</v>
      </c>
      <c r="BE43" s="164">
        <f t="shared" si="111"/>
        <v>0.0067</v>
      </c>
      <c r="BF43" s="164">
        <f t="shared" si="112"/>
        <v>0.0071</v>
      </c>
      <c r="BG43" s="167">
        <f t="shared" si="113"/>
        <v>1.34</v>
      </c>
      <c r="BH43" s="237"/>
      <c r="BI43" s="233">
        <v>146</v>
      </c>
      <c r="BJ43" s="164">
        <f t="shared" si="114"/>
        <v>0.000511467737245711</v>
      </c>
      <c r="BK43" s="164">
        <f t="shared" si="115"/>
        <v>0.000511467737245711</v>
      </c>
      <c r="BL43" s="164">
        <f t="shared" si="116"/>
        <v>0.000530076389090592</v>
      </c>
      <c r="BM43" s="167">
        <f t="shared" si="117"/>
        <v>0.1</v>
      </c>
      <c r="BN43" s="248">
        <v>1823</v>
      </c>
      <c r="BO43" s="248">
        <v>32</v>
      </c>
      <c r="BP43" s="248">
        <v>16</v>
      </c>
      <c r="BQ43" s="248"/>
      <c r="BR43" s="248"/>
      <c r="BS43" s="248"/>
      <c r="BT43" s="164">
        <f t="shared" si="118"/>
        <v>0.00237509403525643</v>
      </c>
      <c r="BU43" s="164">
        <f t="shared" si="119"/>
        <v>0.00237509403525643</v>
      </c>
      <c r="BV43" s="164">
        <f t="shared" si="120"/>
        <v>0.0024</v>
      </c>
      <c r="BW43" s="167">
        <f t="shared" si="121"/>
        <v>3.14</v>
      </c>
      <c r="BX43" s="215"/>
      <c r="BY43" s="215"/>
      <c r="BZ43" s="215">
        <v>1</v>
      </c>
      <c r="CA43" s="215"/>
      <c r="CB43" s="215"/>
      <c r="CC43" s="215"/>
      <c r="CD43" s="207">
        <f t="shared" si="122"/>
        <v>0.0017</v>
      </c>
      <c r="CE43" s="215">
        <f t="shared" si="123"/>
        <v>0.0017</v>
      </c>
      <c r="CF43" s="165">
        <f t="shared" si="124"/>
        <v>0.0017</v>
      </c>
      <c r="CG43" s="167">
        <f t="shared" si="125"/>
        <v>0.99</v>
      </c>
      <c r="CH43" s="163"/>
      <c r="CI43" s="163"/>
      <c r="CJ43" s="166"/>
      <c r="CK43" s="166"/>
      <c r="CL43" s="166"/>
      <c r="CM43" s="193"/>
      <c r="CN43" s="261"/>
      <c r="CO43" s="193"/>
      <c r="CP43" s="193">
        <f t="shared" si="126"/>
        <v>0.99</v>
      </c>
      <c r="CQ43" s="262">
        <v>1</v>
      </c>
      <c r="CR43" s="262"/>
      <c r="CS43" s="271">
        <v>1</v>
      </c>
      <c r="CT43" s="176">
        <v>31</v>
      </c>
      <c r="CU43" s="166">
        <f t="shared" si="92"/>
        <v>0.00658722184357895</v>
      </c>
      <c r="CV43" s="166">
        <f t="shared" si="93"/>
        <v>0.00658722184357895</v>
      </c>
      <c r="CW43" s="164">
        <f t="shared" si="127"/>
        <v>0.0072</v>
      </c>
      <c r="CX43" s="272">
        <f t="shared" si="94"/>
        <v>5.47</v>
      </c>
      <c r="CY43" s="273"/>
      <c r="CZ43" s="274"/>
      <c r="DA43" s="272"/>
      <c r="DB43" s="289"/>
      <c r="DC43" s="225"/>
      <c r="DD43" s="288">
        <f t="shared" si="128"/>
        <v>18.23</v>
      </c>
    </row>
    <row r="44" s="114" customFormat="1" ht="10" customHeight="1" spans="1:108">
      <c r="A44" s="161" t="s">
        <v>117</v>
      </c>
      <c r="B44" s="170">
        <v>1</v>
      </c>
      <c r="C44" s="163">
        <v>411973</v>
      </c>
      <c r="D44" s="164">
        <f t="shared" si="95"/>
        <v>0.0134</v>
      </c>
      <c r="E44" s="165">
        <f t="shared" si="96"/>
        <v>0.0134</v>
      </c>
      <c r="F44" s="166">
        <f t="shared" si="97"/>
        <v>0.0167888241558604</v>
      </c>
      <c r="G44" s="167">
        <f t="shared" si="98"/>
        <v>3.44</v>
      </c>
      <c r="H44" s="176">
        <v>494</v>
      </c>
      <c r="I44" s="190">
        <v>13819</v>
      </c>
      <c r="J44" s="191">
        <f t="shared" si="99"/>
        <v>0.0103</v>
      </c>
      <c r="K44" s="166">
        <f t="shared" si="100"/>
        <v>0.0103</v>
      </c>
      <c r="L44" s="192">
        <f t="shared" si="101"/>
        <v>0.0134</v>
      </c>
      <c r="M44" s="193">
        <f t="shared" si="102"/>
        <v>36.7</v>
      </c>
      <c r="N44" s="163"/>
      <c r="O44" s="163"/>
      <c r="P44" s="163"/>
      <c r="Q44" s="163">
        <v>308</v>
      </c>
      <c r="R44" s="166">
        <f t="shared" si="84"/>
        <v>0.0044</v>
      </c>
      <c r="S44" s="166">
        <f t="shared" si="103"/>
        <v>0.0044</v>
      </c>
      <c r="T44" s="166">
        <f t="shared" si="85"/>
        <v>0.00467339352097717</v>
      </c>
      <c r="U44" s="193">
        <f t="shared" si="86"/>
        <v>3.28</v>
      </c>
      <c r="V44" s="193"/>
      <c r="W44" s="193">
        <f t="shared" si="104"/>
        <v>3.28</v>
      </c>
      <c r="X44" s="168">
        <v>0</v>
      </c>
      <c r="Y44" s="206">
        <v>0</v>
      </c>
      <c r="Z44" s="206">
        <v>1</v>
      </c>
      <c r="AA44" s="206"/>
      <c r="AB44" s="191">
        <f t="shared" si="87"/>
        <v>0.0001</v>
      </c>
      <c r="AC44" s="204">
        <f t="shared" si="88"/>
        <v>0.0001</v>
      </c>
      <c r="AD44" s="166">
        <f t="shared" si="89"/>
        <v>0.0001</v>
      </c>
      <c r="AE44" s="193">
        <f t="shared" si="90"/>
        <v>0.13</v>
      </c>
      <c r="AF44" s="207"/>
      <c r="AG44" s="207"/>
      <c r="AH44" s="214">
        <v>1</v>
      </c>
      <c r="AI44" s="215"/>
      <c r="AJ44" s="215"/>
      <c r="AK44" s="215"/>
      <c r="AL44" s="165">
        <f t="shared" si="105"/>
        <v>0.000490918016691213</v>
      </c>
      <c r="AM44" s="165">
        <f t="shared" si="106"/>
        <v>0.000490918016691213</v>
      </c>
      <c r="AN44" s="165">
        <f t="shared" si="107"/>
        <v>0.0006</v>
      </c>
      <c r="AO44" s="225">
        <f t="shared" si="91"/>
        <v>0.12</v>
      </c>
      <c r="AP44" s="215"/>
      <c r="AQ44" s="215"/>
      <c r="AR44" s="225">
        <f t="shared" si="108"/>
        <v>0</v>
      </c>
      <c r="AS44" s="167">
        <f t="shared" si="109"/>
        <v>0.12</v>
      </c>
      <c r="AT44" s="176">
        <v>1</v>
      </c>
      <c r="AU44" s="176"/>
      <c r="AV44" s="176"/>
      <c r="AW44" s="176"/>
      <c r="AX44" s="176"/>
      <c r="AY44" s="176"/>
      <c r="AZ44" s="176"/>
      <c r="BA44" s="176"/>
      <c r="BB44" s="176"/>
      <c r="BC44" s="176"/>
      <c r="BD44" s="228">
        <f t="shared" si="110"/>
        <v>0.0067</v>
      </c>
      <c r="BE44" s="164">
        <f t="shared" si="111"/>
        <v>0.0067</v>
      </c>
      <c r="BF44" s="164">
        <f t="shared" si="112"/>
        <v>0.0071</v>
      </c>
      <c r="BG44" s="167">
        <f t="shared" si="113"/>
        <v>1.34</v>
      </c>
      <c r="BH44" s="238">
        <v>57</v>
      </c>
      <c r="BI44" s="233">
        <v>688</v>
      </c>
      <c r="BJ44" s="164">
        <f t="shared" si="114"/>
        <v>0.0569235565925039</v>
      </c>
      <c r="BK44" s="164">
        <f t="shared" si="115"/>
        <v>0.0569235565925039</v>
      </c>
      <c r="BL44" s="164">
        <f t="shared" si="116"/>
        <v>0.0589945975776235</v>
      </c>
      <c r="BM44" s="167">
        <f t="shared" si="117"/>
        <v>11.43</v>
      </c>
      <c r="BN44" s="248">
        <v>7397</v>
      </c>
      <c r="BO44" s="248">
        <v>80</v>
      </c>
      <c r="BP44" s="248">
        <v>40</v>
      </c>
      <c r="BQ44" s="234"/>
      <c r="BR44" s="234"/>
      <c r="BS44" s="234"/>
      <c r="BT44" s="164">
        <f t="shared" si="118"/>
        <v>0.0078976663745434</v>
      </c>
      <c r="BU44" s="164">
        <f t="shared" si="119"/>
        <v>0.0078976663745434</v>
      </c>
      <c r="BV44" s="164">
        <f t="shared" si="120"/>
        <v>0.008</v>
      </c>
      <c r="BW44" s="167">
        <f t="shared" si="121"/>
        <v>10.48</v>
      </c>
      <c r="BX44" s="215"/>
      <c r="BY44" s="215"/>
      <c r="BZ44" s="215">
        <v>1</v>
      </c>
      <c r="CA44" s="215"/>
      <c r="CB44" s="215"/>
      <c r="CC44" s="215"/>
      <c r="CD44" s="207">
        <f t="shared" si="122"/>
        <v>0.0017</v>
      </c>
      <c r="CE44" s="215">
        <f t="shared" si="123"/>
        <v>0.0017</v>
      </c>
      <c r="CF44" s="165">
        <f t="shared" si="124"/>
        <v>0.0017</v>
      </c>
      <c r="CG44" s="167">
        <f t="shared" si="125"/>
        <v>0.99</v>
      </c>
      <c r="CH44" s="163"/>
      <c r="CI44" s="163"/>
      <c r="CJ44" s="166"/>
      <c r="CK44" s="166"/>
      <c r="CL44" s="166"/>
      <c r="CM44" s="193"/>
      <c r="CN44" s="261"/>
      <c r="CO44" s="193"/>
      <c r="CP44" s="193">
        <f t="shared" si="126"/>
        <v>0.99</v>
      </c>
      <c r="CQ44" s="262">
        <v>1</v>
      </c>
      <c r="CR44" s="262"/>
      <c r="CS44" s="271">
        <v>1</v>
      </c>
      <c r="CT44" s="176">
        <v>63</v>
      </c>
      <c r="CU44" s="166">
        <f t="shared" si="92"/>
        <v>0.012720961769521</v>
      </c>
      <c r="CV44" s="166">
        <f t="shared" si="93"/>
        <v>0.012720961769521</v>
      </c>
      <c r="CW44" s="164">
        <f t="shared" si="127"/>
        <v>0.0138</v>
      </c>
      <c r="CX44" s="272">
        <f t="shared" si="94"/>
        <v>10.48</v>
      </c>
      <c r="CY44" s="273"/>
      <c r="CZ44" s="274"/>
      <c r="DA44" s="272"/>
      <c r="DB44" s="289"/>
      <c r="DC44" s="225"/>
      <c r="DD44" s="288">
        <f t="shared" si="128"/>
        <v>78.39</v>
      </c>
    </row>
    <row r="45" s="114" customFormat="1" ht="10" customHeight="1" spans="1:108">
      <c r="A45" s="161" t="s">
        <v>118</v>
      </c>
      <c r="B45" s="170">
        <v>1</v>
      </c>
      <c r="C45" s="163">
        <v>228451</v>
      </c>
      <c r="D45" s="164">
        <f t="shared" si="95"/>
        <v>0.0074</v>
      </c>
      <c r="E45" s="165">
        <f t="shared" si="96"/>
        <v>0.0074</v>
      </c>
      <c r="F45" s="166">
        <f t="shared" si="97"/>
        <v>0.00927144020547516</v>
      </c>
      <c r="G45" s="167">
        <f t="shared" si="98"/>
        <v>1.9</v>
      </c>
      <c r="H45" s="176">
        <v>588</v>
      </c>
      <c r="I45" s="190">
        <v>9122</v>
      </c>
      <c r="J45" s="191">
        <f t="shared" si="99"/>
        <v>0.0095</v>
      </c>
      <c r="K45" s="166">
        <f t="shared" si="100"/>
        <v>0.0095</v>
      </c>
      <c r="L45" s="192">
        <f t="shared" si="101"/>
        <v>0.0123</v>
      </c>
      <c r="M45" s="193">
        <f t="shared" si="102"/>
        <v>33.69</v>
      </c>
      <c r="N45" s="163"/>
      <c r="O45" s="163"/>
      <c r="P45" s="163"/>
      <c r="Q45" s="163">
        <v>202</v>
      </c>
      <c r="R45" s="166">
        <f t="shared" si="84"/>
        <v>0.0029</v>
      </c>
      <c r="S45" s="166">
        <f t="shared" si="103"/>
        <v>0.0029</v>
      </c>
      <c r="T45" s="166">
        <f t="shared" si="85"/>
        <v>0.00308019118428041</v>
      </c>
      <c r="U45" s="193">
        <f t="shared" si="86"/>
        <v>2.16</v>
      </c>
      <c r="V45" s="193"/>
      <c r="W45" s="193">
        <f t="shared" si="104"/>
        <v>2.16</v>
      </c>
      <c r="X45" s="168">
        <v>0</v>
      </c>
      <c r="Y45" s="206">
        <v>0</v>
      </c>
      <c r="Z45" s="206">
        <v>1</v>
      </c>
      <c r="AA45" s="206"/>
      <c r="AB45" s="191">
        <f t="shared" si="87"/>
        <v>0.0001</v>
      </c>
      <c r="AC45" s="204">
        <f t="shared" si="88"/>
        <v>0.0001</v>
      </c>
      <c r="AD45" s="166">
        <f t="shared" si="89"/>
        <v>0.0001</v>
      </c>
      <c r="AE45" s="193">
        <f t="shared" si="90"/>
        <v>0.13</v>
      </c>
      <c r="AF45" s="207"/>
      <c r="AG45" s="207"/>
      <c r="AH45" s="214">
        <v>1</v>
      </c>
      <c r="AI45" s="215"/>
      <c r="AJ45" s="215"/>
      <c r="AK45" s="215"/>
      <c r="AL45" s="165">
        <f t="shared" si="105"/>
        <v>0.000490918016691213</v>
      </c>
      <c r="AM45" s="165">
        <f t="shared" si="106"/>
        <v>0.000490918016691213</v>
      </c>
      <c r="AN45" s="165">
        <f t="shared" si="107"/>
        <v>0.0006</v>
      </c>
      <c r="AO45" s="225">
        <f t="shared" si="91"/>
        <v>0.12</v>
      </c>
      <c r="AP45" s="215"/>
      <c r="AQ45" s="215"/>
      <c r="AR45" s="225">
        <f t="shared" si="108"/>
        <v>0</v>
      </c>
      <c r="AS45" s="167">
        <f t="shared" si="109"/>
        <v>0.12</v>
      </c>
      <c r="AT45" s="176">
        <v>1</v>
      </c>
      <c r="AU45" s="176"/>
      <c r="AV45" s="176"/>
      <c r="AW45" s="176"/>
      <c r="AX45" s="176"/>
      <c r="AY45" s="176">
        <v>1</v>
      </c>
      <c r="AZ45" s="176"/>
      <c r="BA45" s="176"/>
      <c r="BB45" s="176"/>
      <c r="BC45" s="176"/>
      <c r="BD45" s="228">
        <f t="shared" si="110"/>
        <v>0.0083</v>
      </c>
      <c r="BE45" s="164">
        <f t="shared" si="111"/>
        <v>0.0083</v>
      </c>
      <c r="BF45" s="164">
        <f t="shared" si="112"/>
        <v>0.0088</v>
      </c>
      <c r="BG45" s="167">
        <f t="shared" si="113"/>
        <v>1.66</v>
      </c>
      <c r="BH45" s="238">
        <v>15</v>
      </c>
      <c r="BI45" s="233">
        <v>406</v>
      </c>
      <c r="BJ45" s="164">
        <f t="shared" si="114"/>
        <v>0.0157679197626229</v>
      </c>
      <c r="BK45" s="164">
        <f t="shared" si="115"/>
        <v>0.0157679197626229</v>
      </c>
      <c r="BL45" s="164">
        <f t="shared" si="116"/>
        <v>0.0163416015568271</v>
      </c>
      <c r="BM45" s="167">
        <f t="shared" si="117"/>
        <v>3.17</v>
      </c>
      <c r="BN45" s="248">
        <v>4579</v>
      </c>
      <c r="BO45" s="248">
        <v>68</v>
      </c>
      <c r="BP45" s="248">
        <v>34</v>
      </c>
      <c r="BQ45" s="248"/>
      <c r="BR45" s="248"/>
      <c r="BS45" s="248"/>
      <c r="BT45" s="164">
        <f t="shared" si="118"/>
        <v>0.00553377901520851</v>
      </c>
      <c r="BU45" s="164">
        <f t="shared" si="119"/>
        <v>0.00553377901520851</v>
      </c>
      <c r="BV45" s="164">
        <f t="shared" si="120"/>
        <v>0.0056</v>
      </c>
      <c r="BW45" s="167">
        <f t="shared" si="121"/>
        <v>7.33</v>
      </c>
      <c r="BX45" s="215"/>
      <c r="BY45" s="215"/>
      <c r="BZ45" s="215">
        <v>1</v>
      </c>
      <c r="CA45" s="215"/>
      <c r="CB45" s="215"/>
      <c r="CC45" s="215"/>
      <c r="CD45" s="207">
        <f t="shared" si="122"/>
        <v>0.0017</v>
      </c>
      <c r="CE45" s="215">
        <f t="shared" si="123"/>
        <v>0.0017</v>
      </c>
      <c r="CF45" s="165">
        <f t="shared" si="124"/>
        <v>0.0017</v>
      </c>
      <c r="CG45" s="167">
        <f t="shared" si="125"/>
        <v>0.99</v>
      </c>
      <c r="CH45" s="190">
        <v>500</v>
      </c>
      <c r="CI45" s="190"/>
      <c r="CJ45" s="166">
        <f t="shared" ref="CJ45:CJ50" si="129">ROUND((CH45*0.0035+CI45*0.003)/148,4)</f>
        <v>0.0118</v>
      </c>
      <c r="CK45" s="166">
        <f>CJ45*B45</f>
        <v>0.0118</v>
      </c>
      <c r="CL45" s="166">
        <f>CK45/SUM(CK$9:CK$28,CK$30:CK$64)</f>
        <v>0.0123128293420984</v>
      </c>
      <c r="CM45" s="193">
        <f>ROUND(125*CL45,2)</f>
        <v>1.54</v>
      </c>
      <c r="CN45" s="261"/>
      <c r="CO45" s="193"/>
      <c r="CP45" s="193">
        <f t="shared" si="126"/>
        <v>2.53</v>
      </c>
      <c r="CQ45" s="262">
        <v>1</v>
      </c>
      <c r="CR45" s="262"/>
      <c r="CS45" s="271">
        <v>1</v>
      </c>
      <c r="CT45" s="176">
        <v>53</v>
      </c>
      <c r="CU45" s="166">
        <f t="shared" si="92"/>
        <v>0.0108041680426641</v>
      </c>
      <c r="CV45" s="166">
        <f t="shared" si="93"/>
        <v>0.0108041680426641</v>
      </c>
      <c r="CW45" s="164">
        <f t="shared" si="127"/>
        <v>0.0117</v>
      </c>
      <c r="CX45" s="272">
        <f t="shared" si="94"/>
        <v>8.88</v>
      </c>
      <c r="CY45" s="273"/>
      <c r="CZ45" s="274"/>
      <c r="DA45" s="272"/>
      <c r="DB45" s="289"/>
      <c r="DC45" s="225"/>
      <c r="DD45" s="288">
        <f t="shared" si="128"/>
        <v>61.57</v>
      </c>
    </row>
    <row r="46" s="114" customFormat="1" ht="10" customHeight="1" spans="1:108">
      <c r="A46" s="161" t="s">
        <v>119</v>
      </c>
      <c r="B46" s="170">
        <v>1</v>
      </c>
      <c r="C46" s="163">
        <v>243803</v>
      </c>
      <c r="D46" s="164">
        <f t="shared" si="95"/>
        <v>0.0079</v>
      </c>
      <c r="E46" s="165">
        <f t="shared" si="96"/>
        <v>0.0079</v>
      </c>
      <c r="F46" s="166">
        <f t="shared" si="97"/>
        <v>0.00989788886800727</v>
      </c>
      <c r="G46" s="167">
        <f t="shared" si="98"/>
        <v>2.03</v>
      </c>
      <c r="H46" s="176">
        <v>517</v>
      </c>
      <c r="I46" s="190">
        <v>14306</v>
      </c>
      <c r="J46" s="191">
        <f t="shared" si="99"/>
        <v>0.0107</v>
      </c>
      <c r="K46" s="166">
        <f t="shared" si="100"/>
        <v>0.0107</v>
      </c>
      <c r="L46" s="192">
        <f t="shared" si="101"/>
        <v>0.0139</v>
      </c>
      <c r="M46" s="193">
        <f t="shared" si="102"/>
        <v>38.07</v>
      </c>
      <c r="N46" s="163"/>
      <c r="O46" s="163"/>
      <c r="P46" s="163"/>
      <c r="Q46" s="163">
        <v>160</v>
      </c>
      <c r="R46" s="166">
        <f t="shared" si="84"/>
        <v>0.0023</v>
      </c>
      <c r="S46" s="166">
        <f t="shared" si="103"/>
        <v>0.0023</v>
      </c>
      <c r="T46" s="166">
        <f t="shared" si="85"/>
        <v>0.0024429102496017</v>
      </c>
      <c r="U46" s="193">
        <f t="shared" si="86"/>
        <v>1.71</v>
      </c>
      <c r="V46" s="193"/>
      <c r="W46" s="193">
        <f t="shared" si="104"/>
        <v>1.71</v>
      </c>
      <c r="X46" s="168">
        <v>0</v>
      </c>
      <c r="Y46" s="206">
        <v>0</v>
      </c>
      <c r="Z46" s="206">
        <v>1</v>
      </c>
      <c r="AA46" s="206"/>
      <c r="AB46" s="191">
        <f t="shared" si="87"/>
        <v>0.0001</v>
      </c>
      <c r="AC46" s="204">
        <f t="shared" si="88"/>
        <v>0.0001</v>
      </c>
      <c r="AD46" s="166">
        <f t="shared" si="89"/>
        <v>0.0001</v>
      </c>
      <c r="AE46" s="193">
        <f t="shared" si="90"/>
        <v>0.13</v>
      </c>
      <c r="AF46" s="207"/>
      <c r="AG46" s="207"/>
      <c r="AH46" s="214">
        <v>1</v>
      </c>
      <c r="AI46" s="215"/>
      <c r="AJ46" s="215"/>
      <c r="AK46" s="215"/>
      <c r="AL46" s="165">
        <f t="shared" si="105"/>
        <v>0.000490918016691213</v>
      </c>
      <c r="AM46" s="165">
        <f t="shared" si="106"/>
        <v>0.000490918016691213</v>
      </c>
      <c r="AN46" s="165">
        <f t="shared" si="107"/>
        <v>0.0006</v>
      </c>
      <c r="AO46" s="225">
        <f t="shared" si="91"/>
        <v>0.12</v>
      </c>
      <c r="AP46" s="215"/>
      <c r="AQ46" s="215"/>
      <c r="AR46" s="225">
        <f t="shared" si="108"/>
        <v>0</v>
      </c>
      <c r="AS46" s="167">
        <f t="shared" si="109"/>
        <v>0.12</v>
      </c>
      <c r="AT46" s="176">
        <v>1</v>
      </c>
      <c r="AU46" s="176"/>
      <c r="AV46" s="176"/>
      <c r="AW46" s="176"/>
      <c r="AX46" s="176"/>
      <c r="AY46" s="176">
        <v>1</v>
      </c>
      <c r="AZ46" s="176"/>
      <c r="BA46" s="176"/>
      <c r="BB46" s="176"/>
      <c r="BC46" s="176"/>
      <c r="BD46" s="228">
        <f t="shared" si="110"/>
        <v>0.0083</v>
      </c>
      <c r="BE46" s="164">
        <f t="shared" si="111"/>
        <v>0.0083</v>
      </c>
      <c r="BF46" s="164">
        <f t="shared" si="112"/>
        <v>0.0088</v>
      </c>
      <c r="BG46" s="167">
        <f t="shared" si="113"/>
        <v>1.66</v>
      </c>
      <c r="BH46" s="232">
        <v>6</v>
      </c>
      <c r="BI46" s="233">
        <v>446</v>
      </c>
      <c r="BJ46" s="164">
        <f t="shared" si="114"/>
        <v>0.00730067646863056</v>
      </c>
      <c r="BK46" s="164">
        <f t="shared" si="115"/>
        <v>0.00730067646863056</v>
      </c>
      <c r="BL46" s="164">
        <f t="shared" si="116"/>
        <v>0.00756629585523832</v>
      </c>
      <c r="BM46" s="167">
        <f t="shared" si="117"/>
        <v>1.47</v>
      </c>
      <c r="BN46" s="248">
        <v>6629</v>
      </c>
      <c r="BO46" s="248">
        <v>68</v>
      </c>
      <c r="BP46" s="248">
        <v>34</v>
      </c>
      <c r="BQ46" s="248"/>
      <c r="BR46" s="248"/>
      <c r="BS46" s="248"/>
      <c r="BT46" s="164">
        <f t="shared" si="118"/>
        <v>0.00694876726564863</v>
      </c>
      <c r="BU46" s="164">
        <f t="shared" si="119"/>
        <v>0.00694876726564863</v>
      </c>
      <c r="BV46" s="164">
        <f t="shared" si="120"/>
        <v>0.0071</v>
      </c>
      <c r="BW46" s="167">
        <f t="shared" si="121"/>
        <v>9.3</v>
      </c>
      <c r="BX46" s="215"/>
      <c r="BY46" s="215">
        <v>1</v>
      </c>
      <c r="BZ46" s="215">
        <v>1</v>
      </c>
      <c r="CA46" s="215"/>
      <c r="CB46" s="215"/>
      <c r="CC46" s="215"/>
      <c r="CD46" s="207">
        <f t="shared" si="122"/>
        <v>0.0069</v>
      </c>
      <c r="CE46" s="215">
        <f t="shared" si="123"/>
        <v>0.0069</v>
      </c>
      <c r="CF46" s="165">
        <f t="shared" si="124"/>
        <v>0.007</v>
      </c>
      <c r="CG46" s="167">
        <f t="shared" si="125"/>
        <v>4.06</v>
      </c>
      <c r="CH46" s="190">
        <v>4000</v>
      </c>
      <c r="CI46" s="190">
        <v>2000</v>
      </c>
      <c r="CJ46" s="166">
        <f t="shared" si="129"/>
        <v>0.1351</v>
      </c>
      <c r="CK46" s="166">
        <f>CJ46*B46</f>
        <v>0.1351</v>
      </c>
      <c r="CL46" s="166">
        <f>CK46/SUM(CK$9:CK$28,CK$30:CK$64)</f>
        <v>0.140971461365889</v>
      </c>
      <c r="CM46" s="193">
        <f>ROUND(125*CL46,2)</f>
        <v>17.62</v>
      </c>
      <c r="CN46" s="261"/>
      <c r="CO46" s="193"/>
      <c r="CP46" s="193">
        <f t="shared" si="126"/>
        <v>21.68</v>
      </c>
      <c r="CQ46" s="262">
        <v>1</v>
      </c>
      <c r="CR46" s="262"/>
      <c r="CS46" s="271">
        <v>1</v>
      </c>
      <c r="CT46" s="176">
        <v>53</v>
      </c>
      <c r="CU46" s="166">
        <f t="shared" si="92"/>
        <v>0.0108041680426641</v>
      </c>
      <c r="CV46" s="166">
        <f t="shared" si="93"/>
        <v>0.0108041680426641</v>
      </c>
      <c r="CW46" s="164">
        <f t="shared" si="127"/>
        <v>0.0117</v>
      </c>
      <c r="CX46" s="272">
        <f t="shared" si="94"/>
        <v>8.88</v>
      </c>
      <c r="CY46" s="273"/>
      <c r="CZ46" s="274"/>
      <c r="DA46" s="272"/>
      <c r="DB46" s="289"/>
      <c r="DC46" s="225"/>
      <c r="DD46" s="288">
        <f t="shared" si="128"/>
        <v>85.05</v>
      </c>
    </row>
    <row r="47" s="114" customFormat="1" ht="10" customHeight="1" spans="1:108">
      <c r="A47" s="161" t="s">
        <v>120</v>
      </c>
      <c r="B47" s="170">
        <v>1</v>
      </c>
      <c r="C47" s="163">
        <v>265995</v>
      </c>
      <c r="D47" s="164">
        <f t="shared" si="95"/>
        <v>0.0086</v>
      </c>
      <c r="E47" s="165">
        <f t="shared" si="96"/>
        <v>0.0086</v>
      </c>
      <c r="F47" s="166">
        <f t="shared" si="97"/>
        <v>0.0107749169955522</v>
      </c>
      <c r="G47" s="167">
        <f t="shared" si="98"/>
        <v>2.21</v>
      </c>
      <c r="H47" s="176">
        <v>220</v>
      </c>
      <c r="I47" s="190">
        <v>9332</v>
      </c>
      <c r="J47" s="191">
        <f t="shared" si="99"/>
        <v>0.0058</v>
      </c>
      <c r="K47" s="166">
        <f t="shared" si="100"/>
        <v>0.0058</v>
      </c>
      <c r="L47" s="192">
        <f t="shared" si="101"/>
        <v>0.0075</v>
      </c>
      <c r="M47" s="193">
        <f t="shared" si="102"/>
        <v>20.54</v>
      </c>
      <c r="N47" s="163"/>
      <c r="O47" s="163"/>
      <c r="P47" s="163"/>
      <c r="Q47" s="163">
        <v>297</v>
      </c>
      <c r="R47" s="166">
        <f t="shared" si="84"/>
        <v>0.0042</v>
      </c>
      <c r="S47" s="166">
        <f t="shared" si="103"/>
        <v>0.0042</v>
      </c>
      <c r="T47" s="166">
        <f t="shared" si="85"/>
        <v>0.00446096654275093</v>
      </c>
      <c r="U47" s="193">
        <f t="shared" si="86"/>
        <v>3.13</v>
      </c>
      <c r="V47" s="193"/>
      <c r="W47" s="193">
        <f t="shared" si="104"/>
        <v>3.13</v>
      </c>
      <c r="X47" s="168">
        <v>0</v>
      </c>
      <c r="Y47" s="206">
        <v>0</v>
      </c>
      <c r="Z47" s="206">
        <v>1</v>
      </c>
      <c r="AA47" s="206"/>
      <c r="AB47" s="191">
        <f t="shared" si="87"/>
        <v>0.0001</v>
      </c>
      <c r="AC47" s="204">
        <f t="shared" si="88"/>
        <v>0.0001</v>
      </c>
      <c r="AD47" s="166">
        <f t="shared" si="89"/>
        <v>0.0001</v>
      </c>
      <c r="AE47" s="193">
        <f t="shared" si="90"/>
        <v>0.13</v>
      </c>
      <c r="AF47" s="207"/>
      <c r="AG47" s="207"/>
      <c r="AH47" s="214">
        <v>1</v>
      </c>
      <c r="AI47" s="215"/>
      <c r="AJ47" s="215"/>
      <c r="AK47" s="215"/>
      <c r="AL47" s="165">
        <f t="shared" si="105"/>
        <v>0.000490918016691213</v>
      </c>
      <c r="AM47" s="165">
        <f t="shared" si="106"/>
        <v>0.000490918016691213</v>
      </c>
      <c r="AN47" s="165">
        <f t="shared" si="107"/>
        <v>0.0006</v>
      </c>
      <c r="AO47" s="225">
        <f t="shared" si="91"/>
        <v>0.12</v>
      </c>
      <c r="AP47" s="215"/>
      <c r="AQ47" s="215"/>
      <c r="AR47" s="225">
        <f t="shared" si="108"/>
        <v>0</v>
      </c>
      <c r="AS47" s="167">
        <f t="shared" si="109"/>
        <v>0.12</v>
      </c>
      <c r="AT47" s="176">
        <v>1</v>
      </c>
      <c r="AU47" s="176"/>
      <c r="AV47" s="176"/>
      <c r="AW47" s="176"/>
      <c r="AX47" s="176"/>
      <c r="AY47" s="176"/>
      <c r="AZ47" s="176"/>
      <c r="BA47" s="176"/>
      <c r="BB47" s="176"/>
      <c r="BC47" s="176"/>
      <c r="BD47" s="228">
        <f t="shared" si="110"/>
        <v>0.0067</v>
      </c>
      <c r="BE47" s="164">
        <f t="shared" si="111"/>
        <v>0.0067</v>
      </c>
      <c r="BF47" s="164">
        <f t="shared" si="112"/>
        <v>0.0071</v>
      </c>
      <c r="BG47" s="167">
        <f t="shared" si="113"/>
        <v>1.34</v>
      </c>
      <c r="BH47" s="232">
        <v>41</v>
      </c>
      <c r="BI47" s="233">
        <v>364</v>
      </c>
      <c r="BJ47" s="164">
        <f t="shared" si="114"/>
        <v>0.0404865249270458</v>
      </c>
      <c r="BK47" s="164">
        <f t="shared" si="115"/>
        <v>0.0404865249270458</v>
      </c>
      <c r="BL47" s="164">
        <f t="shared" si="116"/>
        <v>0.0419595399227396</v>
      </c>
      <c r="BM47" s="167">
        <f t="shared" si="117"/>
        <v>8.13</v>
      </c>
      <c r="BN47" s="248">
        <v>3890</v>
      </c>
      <c r="BO47" s="248">
        <v>64</v>
      </c>
      <c r="BP47" s="248">
        <v>32</v>
      </c>
      <c r="BQ47" s="248"/>
      <c r="BR47" s="248"/>
      <c r="BS47" s="248"/>
      <c r="BT47" s="164">
        <f t="shared" si="118"/>
        <v>0.00491860618422379</v>
      </c>
      <c r="BU47" s="164">
        <f t="shared" si="119"/>
        <v>0.00491860618422379</v>
      </c>
      <c r="BV47" s="164">
        <f t="shared" si="120"/>
        <v>0.005</v>
      </c>
      <c r="BW47" s="167">
        <f t="shared" si="121"/>
        <v>6.55</v>
      </c>
      <c r="BX47" s="215"/>
      <c r="BY47" s="215"/>
      <c r="BZ47" s="215">
        <v>1</v>
      </c>
      <c r="CA47" s="215"/>
      <c r="CB47" s="215"/>
      <c r="CC47" s="215"/>
      <c r="CD47" s="207">
        <f t="shared" si="122"/>
        <v>0.0017</v>
      </c>
      <c r="CE47" s="215">
        <f t="shared" si="123"/>
        <v>0.0017</v>
      </c>
      <c r="CF47" s="165">
        <f t="shared" si="124"/>
        <v>0.0017</v>
      </c>
      <c r="CG47" s="167">
        <f t="shared" si="125"/>
        <v>0.99</v>
      </c>
      <c r="CH47" s="190"/>
      <c r="CI47" s="190"/>
      <c r="CJ47" s="166"/>
      <c r="CK47" s="166"/>
      <c r="CL47" s="166"/>
      <c r="CM47" s="193"/>
      <c r="CN47" s="261"/>
      <c r="CO47" s="193"/>
      <c r="CP47" s="193">
        <f t="shared" si="126"/>
        <v>0.99</v>
      </c>
      <c r="CQ47" s="262">
        <v>1</v>
      </c>
      <c r="CR47" s="262"/>
      <c r="CS47" s="271">
        <v>1</v>
      </c>
      <c r="CT47" s="176">
        <v>53</v>
      </c>
      <c r="CU47" s="166">
        <f t="shared" si="92"/>
        <v>0.0108041680426641</v>
      </c>
      <c r="CV47" s="166">
        <f t="shared" si="93"/>
        <v>0.0108041680426641</v>
      </c>
      <c r="CW47" s="164">
        <f t="shared" si="127"/>
        <v>0.0117</v>
      </c>
      <c r="CX47" s="272">
        <f t="shared" si="94"/>
        <v>8.88</v>
      </c>
      <c r="CY47" s="273"/>
      <c r="CZ47" s="274"/>
      <c r="DA47" s="272"/>
      <c r="DB47" s="289"/>
      <c r="DC47" s="225"/>
      <c r="DD47" s="288">
        <f t="shared" si="128"/>
        <v>52.02</v>
      </c>
    </row>
    <row r="48" s="114" customFormat="1" ht="10" customHeight="1" spans="1:108">
      <c r="A48" s="161" t="s">
        <v>121</v>
      </c>
      <c r="B48" s="170">
        <v>1</v>
      </c>
      <c r="C48" s="163">
        <v>511808</v>
      </c>
      <c r="D48" s="164">
        <f t="shared" si="95"/>
        <v>0.0166</v>
      </c>
      <c r="E48" s="165">
        <f t="shared" si="96"/>
        <v>0.0166</v>
      </c>
      <c r="F48" s="166">
        <f t="shared" si="97"/>
        <v>0.0207980955960659</v>
      </c>
      <c r="G48" s="167">
        <f t="shared" si="98"/>
        <v>4.26</v>
      </c>
      <c r="H48" s="176">
        <v>1275</v>
      </c>
      <c r="I48" s="190">
        <v>20569</v>
      </c>
      <c r="J48" s="191">
        <f t="shared" si="99"/>
        <v>0.0209</v>
      </c>
      <c r="K48" s="166">
        <f t="shared" si="100"/>
        <v>0.0209</v>
      </c>
      <c r="L48" s="192">
        <f t="shared" si="101"/>
        <v>0.0272</v>
      </c>
      <c r="M48" s="193">
        <f t="shared" si="102"/>
        <v>74.5</v>
      </c>
      <c r="N48" s="163"/>
      <c r="O48" s="163"/>
      <c r="P48" s="163"/>
      <c r="Q48" s="163">
        <v>232</v>
      </c>
      <c r="R48" s="166">
        <f t="shared" si="84"/>
        <v>0.0033</v>
      </c>
      <c r="S48" s="166">
        <f t="shared" si="103"/>
        <v>0.0033</v>
      </c>
      <c r="T48" s="166">
        <f t="shared" si="85"/>
        <v>0.00350504514073288</v>
      </c>
      <c r="U48" s="193">
        <f t="shared" si="86"/>
        <v>2.46</v>
      </c>
      <c r="V48" s="193"/>
      <c r="W48" s="193">
        <f t="shared" si="104"/>
        <v>2.46</v>
      </c>
      <c r="X48" s="168">
        <v>0</v>
      </c>
      <c r="Y48" s="206">
        <v>0</v>
      </c>
      <c r="Z48" s="206">
        <v>1</v>
      </c>
      <c r="AA48" s="206"/>
      <c r="AB48" s="191">
        <f t="shared" si="87"/>
        <v>0.0001</v>
      </c>
      <c r="AC48" s="204">
        <f t="shared" si="88"/>
        <v>0.0001</v>
      </c>
      <c r="AD48" s="166">
        <f t="shared" si="89"/>
        <v>0.0001</v>
      </c>
      <c r="AE48" s="193">
        <f t="shared" si="90"/>
        <v>0.13</v>
      </c>
      <c r="AF48" s="207"/>
      <c r="AG48" s="207"/>
      <c r="AH48" s="214">
        <v>1</v>
      </c>
      <c r="AI48" s="215"/>
      <c r="AJ48" s="215"/>
      <c r="AK48" s="215"/>
      <c r="AL48" s="165">
        <f t="shared" si="105"/>
        <v>0.000490918016691213</v>
      </c>
      <c r="AM48" s="165">
        <f t="shared" si="106"/>
        <v>0.000490918016691213</v>
      </c>
      <c r="AN48" s="165">
        <f t="shared" si="107"/>
        <v>0.0006</v>
      </c>
      <c r="AO48" s="225">
        <f t="shared" si="91"/>
        <v>0.12</v>
      </c>
      <c r="AP48" s="215"/>
      <c r="AQ48" s="215"/>
      <c r="AR48" s="225">
        <f t="shared" si="108"/>
        <v>0</v>
      </c>
      <c r="AS48" s="167">
        <f t="shared" si="109"/>
        <v>0.12</v>
      </c>
      <c r="AT48" s="176">
        <v>1</v>
      </c>
      <c r="AU48" s="176"/>
      <c r="AV48" s="176"/>
      <c r="AW48" s="176"/>
      <c r="AX48" s="176"/>
      <c r="AY48" s="176"/>
      <c r="AZ48" s="176"/>
      <c r="BA48" s="176"/>
      <c r="BB48" s="176"/>
      <c r="BC48" s="176"/>
      <c r="BD48" s="228">
        <f t="shared" si="110"/>
        <v>0.0067</v>
      </c>
      <c r="BE48" s="164">
        <f t="shared" si="111"/>
        <v>0.0067</v>
      </c>
      <c r="BF48" s="164">
        <f t="shared" si="112"/>
        <v>0.0071</v>
      </c>
      <c r="BG48" s="167">
        <f t="shared" si="113"/>
        <v>1.34</v>
      </c>
      <c r="BH48" s="232">
        <v>111</v>
      </c>
      <c r="BI48" s="233">
        <v>752</v>
      </c>
      <c r="BJ48" s="164">
        <f t="shared" si="114"/>
        <v>0.108791990275107</v>
      </c>
      <c r="BK48" s="164">
        <f t="shared" si="115"/>
        <v>0.108791990275107</v>
      </c>
      <c r="BL48" s="164">
        <f t="shared" si="116"/>
        <v>0.112750152487728</v>
      </c>
      <c r="BM48" s="167">
        <f t="shared" si="117"/>
        <v>21.85</v>
      </c>
      <c r="BN48" s="248">
        <v>9699</v>
      </c>
      <c r="BO48" s="248">
        <v>100</v>
      </c>
      <c r="BP48" s="248">
        <v>50</v>
      </c>
      <c r="BQ48" s="248"/>
      <c r="BR48" s="248"/>
      <c r="BS48" s="248"/>
      <c r="BT48" s="164">
        <f t="shared" si="118"/>
        <v>0.0101845883000752</v>
      </c>
      <c r="BU48" s="164">
        <f t="shared" si="119"/>
        <v>0.0101845883000752</v>
      </c>
      <c r="BV48" s="164">
        <f t="shared" si="120"/>
        <v>0.0104</v>
      </c>
      <c r="BW48" s="167">
        <f t="shared" si="121"/>
        <v>13.62</v>
      </c>
      <c r="BX48" s="215"/>
      <c r="BY48" s="215"/>
      <c r="BZ48" s="215">
        <v>1</v>
      </c>
      <c r="CA48" s="215"/>
      <c r="CB48" s="215"/>
      <c r="CC48" s="215"/>
      <c r="CD48" s="207">
        <f t="shared" si="122"/>
        <v>0.0017</v>
      </c>
      <c r="CE48" s="215">
        <f t="shared" si="123"/>
        <v>0.0017</v>
      </c>
      <c r="CF48" s="165">
        <f t="shared" si="124"/>
        <v>0.0017</v>
      </c>
      <c r="CG48" s="167">
        <f t="shared" si="125"/>
        <v>0.99</v>
      </c>
      <c r="CH48" s="190"/>
      <c r="CI48" s="190"/>
      <c r="CJ48" s="166"/>
      <c r="CK48" s="166"/>
      <c r="CL48" s="166"/>
      <c r="CM48" s="193"/>
      <c r="CN48" s="261"/>
      <c r="CO48" s="193"/>
      <c r="CP48" s="193">
        <f t="shared" si="126"/>
        <v>0.99</v>
      </c>
      <c r="CQ48" s="262">
        <v>1</v>
      </c>
      <c r="CR48" s="262"/>
      <c r="CS48" s="271">
        <v>1</v>
      </c>
      <c r="CT48" s="176">
        <v>63</v>
      </c>
      <c r="CU48" s="166">
        <f t="shared" si="92"/>
        <v>0.012720961769521</v>
      </c>
      <c r="CV48" s="166">
        <f t="shared" si="93"/>
        <v>0.012720961769521</v>
      </c>
      <c r="CW48" s="164">
        <f t="shared" si="127"/>
        <v>0.0138</v>
      </c>
      <c r="CX48" s="272">
        <f t="shared" si="94"/>
        <v>10.48</v>
      </c>
      <c r="CY48" s="273"/>
      <c r="CZ48" s="274"/>
      <c r="DA48" s="272"/>
      <c r="DB48" s="289"/>
      <c r="DC48" s="272">
        <v>9</v>
      </c>
      <c r="DD48" s="288">
        <f t="shared" si="128"/>
        <v>138.75</v>
      </c>
    </row>
    <row r="49" s="114" customFormat="1" ht="10" customHeight="1" spans="1:108">
      <c r="A49" s="161" t="s">
        <v>122</v>
      </c>
      <c r="B49" s="170">
        <v>1</v>
      </c>
      <c r="C49" s="163">
        <v>547080</v>
      </c>
      <c r="D49" s="164">
        <f t="shared" si="95"/>
        <v>0.0178</v>
      </c>
      <c r="E49" s="165">
        <f t="shared" si="96"/>
        <v>0.0178</v>
      </c>
      <c r="F49" s="166">
        <f t="shared" si="97"/>
        <v>0.022301572386143</v>
      </c>
      <c r="G49" s="167">
        <f t="shared" si="98"/>
        <v>4.57</v>
      </c>
      <c r="H49" s="176">
        <v>279</v>
      </c>
      <c r="I49" s="190">
        <v>17777</v>
      </c>
      <c r="J49" s="191">
        <f t="shared" si="99"/>
        <v>0.0095</v>
      </c>
      <c r="K49" s="166">
        <f t="shared" si="100"/>
        <v>0.0095</v>
      </c>
      <c r="L49" s="192">
        <f t="shared" si="101"/>
        <v>0.0123</v>
      </c>
      <c r="M49" s="193">
        <f t="shared" si="102"/>
        <v>33.69</v>
      </c>
      <c r="N49" s="163"/>
      <c r="O49" s="163"/>
      <c r="P49" s="163"/>
      <c r="Q49" s="163">
        <v>282</v>
      </c>
      <c r="R49" s="166">
        <f t="shared" si="84"/>
        <v>0.004</v>
      </c>
      <c r="S49" s="166">
        <f t="shared" si="103"/>
        <v>0.004</v>
      </c>
      <c r="T49" s="166">
        <f t="shared" si="85"/>
        <v>0.0042485395645247</v>
      </c>
      <c r="U49" s="193">
        <f t="shared" si="86"/>
        <v>2.98</v>
      </c>
      <c r="V49" s="193"/>
      <c r="W49" s="193">
        <f t="shared" si="104"/>
        <v>2.98</v>
      </c>
      <c r="X49" s="168">
        <v>0</v>
      </c>
      <c r="Y49" s="206">
        <v>0</v>
      </c>
      <c r="Z49" s="206">
        <v>1</v>
      </c>
      <c r="AA49" s="206"/>
      <c r="AB49" s="191">
        <f t="shared" si="87"/>
        <v>0.0001</v>
      </c>
      <c r="AC49" s="204">
        <f t="shared" si="88"/>
        <v>0.0001</v>
      </c>
      <c r="AD49" s="166">
        <f t="shared" si="89"/>
        <v>0.0001</v>
      </c>
      <c r="AE49" s="193">
        <f t="shared" si="90"/>
        <v>0.13</v>
      </c>
      <c r="AF49" s="207"/>
      <c r="AG49" s="207"/>
      <c r="AH49" s="214">
        <v>1</v>
      </c>
      <c r="AI49" s="215"/>
      <c r="AJ49" s="215"/>
      <c r="AK49" s="215"/>
      <c r="AL49" s="165">
        <f t="shared" si="105"/>
        <v>0.000490918016691213</v>
      </c>
      <c r="AM49" s="165">
        <f t="shared" si="106"/>
        <v>0.000490918016691213</v>
      </c>
      <c r="AN49" s="165">
        <f t="shared" si="107"/>
        <v>0.0006</v>
      </c>
      <c r="AO49" s="225">
        <f t="shared" si="91"/>
        <v>0.12</v>
      </c>
      <c r="AP49" s="215"/>
      <c r="AQ49" s="215"/>
      <c r="AR49" s="225">
        <f t="shared" si="108"/>
        <v>0</v>
      </c>
      <c r="AS49" s="167">
        <f t="shared" si="109"/>
        <v>0.12</v>
      </c>
      <c r="AT49" s="176">
        <v>1</v>
      </c>
      <c r="AU49" s="176"/>
      <c r="AV49" s="176"/>
      <c r="AW49" s="176"/>
      <c r="AX49" s="176"/>
      <c r="AY49" s="176">
        <v>1</v>
      </c>
      <c r="AZ49" s="176"/>
      <c r="BA49" s="176"/>
      <c r="BB49" s="176"/>
      <c r="BC49" s="176"/>
      <c r="BD49" s="228">
        <f t="shared" si="110"/>
        <v>0.0083</v>
      </c>
      <c r="BE49" s="164">
        <f t="shared" si="111"/>
        <v>0.0083</v>
      </c>
      <c r="BF49" s="164">
        <f t="shared" si="112"/>
        <v>0.0088</v>
      </c>
      <c r="BG49" s="167">
        <f t="shared" si="113"/>
        <v>1.66</v>
      </c>
      <c r="BH49" s="232">
        <v>65</v>
      </c>
      <c r="BI49" s="233">
        <v>746</v>
      </c>
      <c r="BJ49" s="164">
        <f t="shared" si="114"/>
        <v>0.0647777392425373</v>
      </c>
      <c r="BK49" s="164">
        <f t="shared" si="115"/>
        <v>0.0647777392425373</v>
      </c>
      <c r="BL49" s="164">
        <f t="shared" si="116"/>
        <v>0.0671345377443434</v>
      </c>
      <c r="BM49" s="167">
        <f t="shared" si="117"/>
        <v>13.01</v>
      </c>
      <c r="BN49" s="248">
        <v>9100</v>
      </c>
      <c r="BO49" s="248">
        <v>88</v>
      </c>
      <c r="BP49" s="248">
        <v>44</v>
      </c>
      <c r="BQ49" s="234"/>
      <c r="BR49" s="234"/>
      <c r="BS49" s="234"/>
      <c r="BT49" s="164">
        <f t="shared" si="118"/>
        <v>0.0093523394420704</v>
      </c>
      <c r="BU49" s="164">
        <f t="shared" si="119"/>
        <v>0.0093523394420704</v>
      </c>
      <c r="BV49" s="164">
        <f t="shared" si="120"/>
        <v>0.0095</v>
      </c>
      <c r="BW49" s="167">
        <f t="shared" si="121"/>
        <v>12.44</v>
      </c>
      <c r="BX49" s="215"/>
      <c r="BY49" s="215"/>
      <c r="BZ49" s="215">
        <v>1</v>
      </c>
      <c r="CA49" s="215"/>
      <c r="CB49" s="215"/>
      <c r="CC49" s="215"/>
      <c r="CD49" s="207">
        <f t="shared" si="122"/>
        <v>0.0017</v>
      </c>
      <c r="CE49" s="215">
        <f t="shared" si="123"/>
        <v>0.0017</v>
      </c>
      <c r="CF49" s="165">
        <f t="shared" si="124"/>
        <v>0.0017</v>
      </c>
      <c r="CG49" s="167">
        <f t="shared" si="125"/>
        <v>0.99</v>
      </c>
      <c r="CH49" s="190"/>
      <c r="CI49" s="190"/>
      <c r="CJ49" s="166"/>
      <c r="CK49" s="166"/>
      <c r="CL49" s="166"/>
      <c r="CM49" s="193"/>
      <c r="CN49" s="261"/>
      <c r="CO49" s="193"/>
      <c r="CP49" s="193">
        <f t="shared" si="126"/>
        <v>0.99</v>
      </c>
      <c r="CQ49" s="262">
        <v>1</v>
      </c>
      <c r="CR49" s="262"/>
      <c r="CS49" s="271">
        <v>1</v>
      </c>
      <c r="CT49" s="176">
        <v>61</v>
      </c>
      <c r="CU49" s="166">
        <f t="shared" si="92"/>
        <v>0.0123376030241496</v>
      </c>
      <c r="CV49" s="166">
        <f t="shared" si="93"/>
        <v>0.0123376030241496</v>
      </c>
      <c r="CW49" s="164">
        <f t="shared" si="127"/>
        <v>0.0134</v>
      </c>
      <c r="CX49" s="272">
        <f t="shared" si="94"/>
        <v>10.17</v>
      </c>
      <c r="CY49" s="273"/>
      <c r="CZ49" s="274"/>
      <c r="DA49" s="272"/>
      <c r="DB49" s="289"/>
      <c r="DC49" s="272">
        <v>7</v>
      </c>
      <c r="DD49" s="288">
        <f t="shared" si="128"/>
        <v>86.76</v>
      </c>
    </row>
    <row r="50" s="114" customFormat="1" ht="10" customHeight="1" spans="1:108">
      <c r="A50" s="161" t="s">
        <v>123</v>
      </c>
      <c r="B50" s="170">
        <v>1</v>
      </c>
      <c r="C50" s="163">
        <v>406161</v>
      </c>
      <c r="D50" s="164">
        <f t="shared" si="95"/>
        <v>0.0132</v>
      </c>
      <c r="E50" s="165">
        <f t="shared" si="96"/>
        <v>0.0132</v>
      </c>
      <c r="F50" s="166">
        <f t="shared" si="97"/>
        <v>0.0165382446908476</v>
      </c>
      <c r="G50" s="167">
        <f t="shared" si="98"/>
        <v>3.39</v>
      </c>
      <c r="H50" s="176">
        <v>335</v>
      </c>
      <c r="I50" s="190">
        <v>22651</v>
      </c>
      <c r="J50" s="191">
        <f t="shared" si="99"/>
        <v>0.0119</v>
      </c>
      <c r="K50" s="166">
        <f t="shared" si="100"/>
        <v>0.0119</v>
      </c>
      <c r="L50" s="192">
        <f t="shared" si="101"/>
        <v>0.0155</v>
      </c>
      <c r="M50" s="193">
        <f t="shared" si="102"/>
        <v>42.45</v>
      </c>
      <c r="N50" s="163"/>
      <c r="O50" s="163"/>
      <c r="P50" s="163"/>
      <c r="Q50" s="163">
        <v>204</v>
      </c>
      <c r="R50" s="166">
        <f t="shared" si="84"/>
        <v>0.0029</v>
      </c>
      <c r="S50" s="166">
        <f t="shared" si="103"/>
        <v>0.0029</v>
      </c>
      <c r="T50" s="166">
        <f t="shared" si="85"/>
        <v>0.00308019118428041</v>
      </c>
      <c r="U50" s="193">
        <f t="shared" si="86"/>
        <v>2.16</v>
      </c>
      <c r="V50" s="193"/>
      <c r="W50" s="193">
        <f t="shared" si="104"/>
        <v>2.16</v>
      </c>
      <c r="X50" s="168">
        <v>0</v>
      </c>
      <c r="Y50" s="206">
        <v>0</v>
      </c>
      <c r="Z50" s="206">
        <v>1</v>
      </c>
      <c r="AA50" s="206"/>
      <c r="AB50" s="191">
        <f t="shared" si="87"/>
        <v>0.0001</v>
      </c>
      <c r="AC50" s="204">
        <f t="shared" si="88"/>
        <v>0.0001</v>
      </c>
      <c r="AD50" s="166">
        <f t="shared" si="89"/>
        <v>0.0001</v>
      </c>
      <c r="AE50" s="193">
        <f t="shared" si="90"/>
        <v>0.13</v>
      </c>
      <c r="AF50" s="207"/>
      <c r="AG50" s="207"/>
      <c r="AH50" s="214">
        <v>1</v>
      </c>
      <c r="AI50" s="215"/>
      <c r="AJ50" s="215"/>
      <c r="AK50" s="215"/>
      <c r="AL50" s="165">
        <f t="shared" si="105"/>
        <v>0.000490918016691213</v>
      </c>
      <c r="AM50" s="165">
        <f t="shared" si="106"/>
        <v>0.000490918016691213</v>
      </c>
      <c r="AN50" s="165">
        <f t="shared" si="107"/>
        <v>0.0006</v>
      </c>
      <c r="AO50" s="225">
        <f t="shared" si="91"/>
        <v>0.12</v>
      </c>
      <c r="AP50" s="215"/>
      <c r="AQ50" s="215"/>
      <c r="AR50" s="225">
        <f t="shared" si="108"/>
        <v>0</v>
      </c>
      <c r="AS50" s="167">
        <f t="shared" si="109"/>
        <v>0.12</v>
      </c>
      <c r="AT50" s="176">
        <v>1</v>
      </c>
      <c r="AU50" s="176"/>
      <c r="AV50" s="176"/>
      <c r="AW50" s="176"/>
      <c r="AX50" s="176"/>
      <c r="AY50" s="176"/>
      <c r="AZ50" s="176"/>
      <c r="BA50" s="176"/>
      <c r="BB50" s="176"/>
      <c r="BC50" s="176"/>
      <c r="BD50" s="228">
        <f t="shared" si="110"/>
        <v>0.0067</v>
      </c>
      <c r="BE50" s="164">
        <f t="shared" si="111"/>
        <v>0.0067</v>
      </c>
      <c r="BF50" s="164">
        <f t="shared" si="112"/>
        <v>0.0071</v>
      </c>
      <c r="BG50" s="167">
        <f t="shared" si="113"/>
        <v>1.34</v>
      </c>
      <c r="BH50" s="232">
        <v>17</v>
      </c>
      <c r="BI50" s="233">
        <v>745</v>
      </c>
      <c r="BJ50" s="164">
        <f t="shared" si="114"/>
        <v>0.0188682550192151</v>
      </c>
      <c r="BK50" s="164">
        <f t="shared" si="115"/>
        <v>0.0188682550192151</v>
      </c>
      <c r="BL50" s="164">
        <f t="shared" si="116"/>
        <v>0.0195547358331639</v>
      </c>
      <c r="BM50" s="167">
        <f t="shared" si="117"/>
        <v>3.79</v>
      </c>
      <c r="BN50" s="248">
        <v>8399</v>
      </c>
      <c r="BO50" s="248">
        <v>124</v>
      </c>
      <c r="BP50" s="248">
        <v>62</v>
      </c>
      <c r="BQ50" s="248"/>
      <c r="BR50" s="248"/>
      <c r="BS50" s="248"/>
      <c r="BT50" s="164">
        <f t="shared" si="118"/>
        <v>0.0101248710650608</v>
      </c>
      <c r="BU50" s="164">
        <f t="shared" si="119"/>
        <v>0.0101248710650608</v>
      </c>
      <c r="BV50" s="164">
        <f t="shared" si="120"/>
        <v>0.0103</v>
      </c>
      <c r="BW50" s="167">
        <f t="shared" si="121"/>
        <v>13.49</v>
      </c>
      <c r="BX50" s="215"/>
      <c r="BY50" s="215"/>
      <c r="BZ50" s="215">
        <v>1</v>
      </c>
      <c r="CA50" s="215"/>
      <c r="CB50" s="215"/>
      <c r="CC50" s="215"/>
      <c r="CD50" s="207">
        <f t="shared" si="122"/>
        <v>0.0017</v>
      </c>
      <c r="CE50" s="215">
        <f t="shared" si="123"/>
        <v>0.0017</v>
      </c>
      <c r="CF50" s="165">
        <f t="shared" si="124"/>
        <v>0.0017</v>
      </c>
      <c r="CG50" s="167">
        <f t="shared" si="125"/>
        <v>0.99</v>
      </c>
      <c r="CH50" s="190">
        <v>2000</v>
      </c>
      <c r="CI50" s="176"/>
      <c r="CJ50" s="166">
        <f t="shared" si="129"/>
        <v>0.0473</v>
      </c>
      <c r="CK50" s="166">
        <f>CJ50*B50</f>
        <v>0.0473</v>
      </c>
      <c r="CL50" s="166">
        <f>CK50/SUM(CK$9:CK$28,CK$30:CK$64)</f>
        <v>0.0493556633797673</v>
      </c>
      <c r="CM50" s="193">
        <f>ROUND(125*CL50,2)</f>
        <v>6.17</v>
      </c>
      <c r="CN50" s="261"/>
      <c r="CO50" s="193"/>
      <c r="CP50" s="193">
        <f t="shared" si="126"/>
        <v>7.16</v>
      </c>
      <c r="CQ50" s="262">
        <v>1</v>
      </c>
      <c r="CR50" s="262"/>
      <c r="CS50" s="271">
        <v>1</v>
      </c>
      <c r="CT50" s="176">
        <v>75</v>
      </c>
      <c r="CU50" s="166">
        <f t="shared" si="92"/>
        <v>0.0150211142417493</v>
      </c>
      <c r="CV50" s="166">
        <f t="shared" si="93"/>
        <v>0.0150211142417493</v>
      </c>
      <c r="CW50" s="164">
        <f t="shared" si="127"/>
        <v>0.0163</v>
      </c>
      <c r="CX50" s="272">
        <f t="shared" si="94"/>
        <v>12.37</v>
      </c>
      <c r="CY50" s="273"/>
      <c r="CZ50" s="274"/>
      <c r="DA50" s="272"/>
      <c r="DB50" s="289"/>
      <c r="DC50" s="225"/>
      <c r="DD50" s="288">
        <f t="shared" si="128"/>
        <v>86.4</v>
      </c>
    </row>
    <row r="51" s="114" customFormat="1" ht="10" customHeight="1" spans="1:108">
      <c r="A51" s="161" t="s">
        <v>124</v>
      </c>
      <c r="B51" s="170">
        <v>1</v>
      </c>
      <c r="C51" s="163">
        <v>478219</v>
      </c>
      <c r="D51" s="164">
        <f t="shared" si="95"/>
        <v>0.0155</v>
      </c>
      <c r="E51" s="165">
        <f t="shared" si="96"/>
        <v>0.0155</v>
      </c>
      <c r="F51" s="166">
        <f t="shared" si="97"/>
        <v>0.0194199085384953</v>
      </c>
      <c r="G51" s="167">
        <f t="shared" si="98"/>
        <v>3.98</v>
      </c>
      <c r="H51" s="176">
        <v>386</v>
      </c>
      <c r="I51" s="190">
        <v>18707</v>
      </c>
      <c r="J51" s="191">
        <f t="shared" si="99"/>
        <v>0.011</v>
      </c>
      <c r="K51" s="166">
        <f t="shared" si="100"/>
        <v>0.011</v>
      </c>
      <c r="L51" s="192">
        <f t="shared" si="101"/>
        <v>0.0143</v>
      </c>
      <c r="M51" s="193">
        <f t="shared" si="102"/>
        <v>39.17</v>
      </c>
      <c r="N51" s="163"/>
      <c r="O51" s="163"/>
      <c r="P51" s="163"/>
      <c r="Q51" s="163">
        <v>92</v>
      </c>
      <c r="R51" s="166">
        <f t="shared" si="84"/>
        <v>0.0013</v>
      </c>
      <c r="S51" s="166">
        <f t="shared" si="103"/>
        <v>0.0013</v>
      </c>
      <c r="T51" s="166">
        <f t="shared" si="85"/>
        <v>0.00138077535847053</v>
      </c>
      <c r="U51" s="193">
        <f t="shared" si="86"/>
        <v>0.97</v>
      </c>
      <c r="V51" s="193"/>
      <c r="W51" s="193">
        <f t="shared" si="104"/>
        <v>0.97</v>
      </c>
      <c r="X51" s="168">
        <v>0</v>
      </c>
      <c r="Y51" s="206">
        <v>0</v>
      </c>
      <c r="Z51" s="206">
        <v>1</v>
      </c>
      <c r="AA51" s="206"/>
      <c r="AB51" s="191">
        <f t="shared" si="87"/>
        <v>0.0001</v>
      </c>
      <c r="AC51" s="204">
        <f t="shared" si="88"/>
        <v>0.0001</v>
      </c>
      <c r="AD51" s="166">
        <f t="shared" si="89"/>
        <v>0.0001</v>
      </c>
      <c r="AE51" s="193">
        <f t="shared" si="90"/>
        <v>0.13</v>
      </c>
      <c r="AF51" s="207"/>
      <c r="AG51" s="207"/>
      <c r="AH51" s="214">
        <v>1</v>
      </c>
      <c r="AI51" s="215"/>
      <c r="AJ51" s="215"/>
      <c r="AK51" s="215"/>
      <c r="AL51" s="165">
        <f t="shared" si="105"/>
        <v>0.000490918016691213</v>
      </c>
      <c r="AM51" s="165">
        <f t="shared" si="106"/>
        <v>0.000490918016691213</v>
      </c>
      <c r="AN51" s="165">
        <f t="shared" si="107"/>
        <v>0.0006</v>
      </c>
      <c r="AO51" s="225">
        <f t="shared" si="91"/>
        <v>0.12</v>
      </c>
      <c r="AP51" s="215"/>
      <c r="AQ51" s="215"/>
      <c r="AR51" s="225">
        <f t="shared" si="108"/>
        <v>0</v>
      </c>
      <c r="AS51" s="167">
        <f t="shared" si="109"/>
        <v>0.12</v>
      </c>
      <c r="AT51" s="176">
        <v>1</v>
      </c>
      <c r="AU51" s="176"/>
      <c r="AV51" s="176"/>
      <c r="AW51" s="176"/>
      <c r="AX51" s="176"/>
      <c r="AY51" s="176"/>
      <c r="AZ51" s="176"/>
      <c r="BA51" s="176"/>
      <c r="BB51" s="176"/>
      <c r="BC51" s="176"/>
      <c r="BD51" s="228">
        <f t="shared" si="110"/>
        <v>0.0067</v>
      </c>
      <c r="BE51" s="164">
        <f t="shared" si="111"/>
        <v>0.0067</v>
      </c>
      <c r="BF51" s="164">
        <f t="shared" si="112"/>
        <v>0.0071</v>
      </c>
      <c r="BG51" s="167">
        <f t="shared" si="113"/>
        <v>1.34</v>
      </c>
      <c r="BH51" s="232">
        <v>51</v>
      </c>
      <c r="BI51" s="233">
        <v>681</v>
      </c>
      <c r="BJ51" s="164">
        <f t="shared" si="114"/>
        <v>0.0511607865392902</v>
      </c>
      <c r="BK51" s="164">
        <f t="shared" si="115"/>
        <v>0.0511607865392902</v>
      </c>
      <c r="BL51" s="164">
        <f t="shared" si="116"/>
        <v>0.0530221615498562</v>
      </c>
      <c r="BM51" s="167">
        <f t="shared" si="117"/>
        <v>10.28</v>
      </c>
      <c r="BN51" s="248">
        <v>7944</v>
      </c>
      <c r="BO51" s="248">
        <v>92</v>
      </c>
      <c r="BP51" s="248">
        <v>46</v>
      </c>
      <c r="BQ51" s="248"/>
      <c r="BR51" s="248"/>
      <c r="BS51" s="248"/>
      <c r="BT51" s="164">
        <f t="shared" si="118"/>
        <v>0.00869402284765901</v>
      </c>
      <c r="BU51" s="164">
        <f t="shared" si="119"/>
        <v>0.00869402284765901</v>
      </c>
      <c r="BV51" s="164">
        <f t="shared" si="120"/>
        <v>0.0088</v>
      </c>
      <c r="BW51" s="167">
        <f t="shared" si="121"/>
        <v>11.52</v>
      </c>
      <c r="BX51" s="215"/>
      <c r="BY51" s="215"/>
      <c r="BZ51" s="215">
        <v>1</v>
      </c>
      <c r="CA51" s="215"/>
      <c r="CB51" s="215"/>
      <c r="CC51" s="215"/>
      <c r="CD51" s="207">
        <f t="shared" si="122"/>
        <v>0.0017</v>
      </c>
      <c r="CE51" s="215">
        <f t="shared" si="123"/>
        <v>0.0017</v>
      </c>
      <c r="CF51" s="165">
        <f t="shared" si="124"/>
        <v>0.0017</v>
      </c>
      <c r="CG51" s="167">
        <f t="shared" si="125"/>
        <v>0.99</v>
      </c>
      <c r="CH51" s="163"/>
      <c r="CI51" s="163"/>
      <c r="CJ51" s="166"/>
      <c r="CK51" s="166"/>
      <c r="CL51" s="166"/>
      <c r="CM51" s="193"/>
      <c r="CN51" s="261"/>
      <c r="CO51" s="193"/>
      <c r="CP51" s="193">
        <f t="shared" si="126"/>
        <v>0.99</v>
      </c>
      <c r="CQ51" s="262">
        <v>1</v>
      </c>
      <c r="CR51" s="262"/>
      <c r="CS51" s="271">
        <v>1</v>
      </c>
      <c r="CT51" s="176">
        <v>55</v>
      </c>
      <c r="CU51" s="166">
        <f t="shared" si="92"/>
        <v>0.0111875267880355</v>
      </c>
      <c r="CV51" s="166">
        <f t="shared" si="93"/>
        <v>0.0111875267880355</v>
      </c>
      <c r="CW51" s="164">
        <f t="shared" si="127"/>
        <v>0.0122</v>
      </c>
      <c r="CX51" s="272">
        <f t="shared" si="94"/>
        <v>9.26</v>
      </c>
      <c r="CY51" s="273"/>
      <c r="CZ51" s="274"/>
      <c r="DA51" s="272"/>
      <c r="DB51" s="289"/>
      <c r="DC51" s="225"/>
      <c r="DD51" s="288">
        <f t="shared" si="128"/>
        <v>77.76</v>
      </c>
    </row>
    <row r="52" s="114" customFormat="1" ht="10" customHeight="1" spans="1:108">
      <c r="A52" s="161" t="s">
        <v>125</v>
      </c>
      <c r="B52" s="170">
        <v>1</v>
      </c>
      <c r="C52" s="163">
        <v>95126</v>
      </c>
      <c r="D52" s="164">
        <f t="shared" si="95"/>
        <v>0.0031</v>
      </c>
      <c r="E52" s="165">
        <f t="shared" si="96"/>
        <v>0.0031</v>
      </c>
      <c r="F52" s="166">
        <f t="shared" si="97"/>
        <v>0.00388398170769905</v>
      </c>
      <c r="G52" s="167">
        <f t="shared" si="98"/>
        <v>0.8</v>
      </c>
      <c r="H52" s="176">
        <v>214</v>
      </c>
      <c r="I52" s="190">
        <v>6571</v>
      </c>
      <c r="J52" s="191">
        <f t="shared" si="99"/>
        <v>0.0047</v>
      </c>
      <c r="K52" s="166">
        <f t="shared" si="100"/>
        <v>0.0047</v>
      </c>
      <c r="L52" s="192">
        <f t="shared" si="101"/>
        <v>0.0061</v>
      </c>
      <c r="M52" s="193">
        <f t="shared" si="102"/>
        <v>16.71</v>
      </c>
      <c r="N52" s="163"/>
      <c r="O52" s="163"/>
      <c r="P52" s="163"/>
      <c r="Q52" s="163">
        <v>88</v>
      </c>
      <c r="R52" s="166">
        <f t="shared" si="84"/>
        <v>0.0012</v>
      </c>
      <c r="S52" s="166">
        <f t="shared" si="103"/>
        <v>0.0012</v>
      </c>
      <c r="T52" s="166">
        <f t="shared" si="85"/>
        <v>0.00127456186935741</v>
      </c>
      <c r="U52" s="193">
        <f t="shared" si="86"/>
        <v>0.89</v>
      </c>
      <c r="V52" s="193"/>
      <c r="W52" s="193">
        <f t="shared" si="104"/>
        <v>0.89</v>
      </c>
      <c r="X52" s="168">
        <v>100</v>
      </c>
      <c r="Y52" s="206">
        <v>100</v>
      </c>
      <c r="Z52" s="206">
        <v>1</v>
      </c>
      <c r="AA52" s="206"/>
      <c r="AB52" s="191">
        <f t="shared" si="87"/>
        <v>0.0009</v>
      </c>
      <c r="AC52" s="204">
        <f t="shared" si="88"/>
        <v>0.0009</v>
      </c>
      <c r="AD52" s="166">
        <f t="shared" si="89"/>
        <v>0.0011</v>
      </c>
      <c r="AE52" s="193">
        <f t="shared" si="90"/>
        <v>1.46</v>
      </c>
      <c r="AF52" s="207"/>
      <c r="AG52" s="207"/>
      <c r="AH52" s="214">
        <v>1</v>
      </c>
      <c r="AI52" s="215"/>
      <c r="AJ52" s="215"/>
      <c r="AK52" s="215"/>
      <c r="AL52" s="165">
        <f t="shared" si="105"/>
        <v>0.000490918016691213</v>
      </c>
      <c r="AM52" s="165">
        <f t="shared" si="106"/>
        <v>0.000490918016691213</v>
      </c>
      <c r="AN52" s="165">
        <f t="shared" si="107"/>
        <v>0.0006</v>
      </c>
      <c r="AO52" s="225">
        <f t="shared" si="91"/>
        <v>0.12</v>
      </c>
      <c r="AP52" s="215"/>
      <c r="AQ52" s="215"/>
      <c r="AR52" s="225">
        <f t="shared" si="108"/>
        <v>0</v>
      </c>
      <c r="AS52" s="167">
        <f t="shared" si="109"/>
        <v>0.12</v>
      </c>
      <c r="AT52" s="176">
        <v>1</v>
      </c>
      <c r="AU52" s="176"/>
      <c r="AV52" s="176"/>
      <c r="AW52" s="176"/>
      <c r="AX52" s="176"/>
      <c r="AY52" s="176"/>
      <c r="AZ52" s="176"/>
      <c r="BA52" s="176"/>
      <c r="BB52" s="176"/>
      <c r="BC52" s="176"/>
      <c r="BD52" s="228">
        <f t="shared" si="110"/>
        <v>0.0067</v>
      </c>
      <c r="BE52" s="164">
        <f t="shared" si="111"/>
        <v>0.0067</v>
      </c>
      <c r="BF52" s="164">
        <f t="shared" si="112"/>
        <v>0.0071</v>
      </c>
      <c r="BG52" s="167">
        <f t="shared" si="113"/>
        <v>1.34</v>
      </c>
      <c r="BH52" s="237"/>
      <c r="BI52" s="233">
        <v>208</v>
      </c>
      <c r="BJ52" s="164">
        <f t="shared" si="114"/>
        <v>0.00072866636539115</v>
      </c>
      <c r="BK52" s="164">
        <f t="shared" si="115"/>
        <v>0.00072866636539115</v>
      </c>
      <c r="BL52" s="164">
        <f t="shared" si="116"/>
        <v>0.000755177321444132</v>
      </c>
      <c r="BM52" s="167">
        <f t="shared" si="117"/>
        <v>0.15</v>
      </c>
      <c r="BN52" s="248">
        <v>2664</v>
      </c>
      <c r="BO52" s="248">
        <v>64</v>
      </c>
      <c r="BP52" s="248">
        <v>32</v>
      </c>
      <c r="BQ52" s="234"/>
      <c r="BR52" s="234"/>
      <c r="BS52" s="234"/>
      <c r="BT52" s="164">
        <f t="shared" si="118"/>
        <v>0.0040723741866435</v>
      </c>
      <c r="BU52" s="164">
        <f t="shared" si="119"/>
        <v>0.0040723741866435</v>
      </c>
      <c r="BV52" s="164">
        <f t="shared" si="120"/>
        <v>0.0041</v>
      </c>
      <c r="BW52" s="167">
        <f t="shared" si="121"/>
        <v>5.37</v>
      </c>
      <c r="BX52" s="215"/>
      <c r="BY52" s="215"/>
      <c r="BZ52" s="215">
        <v>1</v>
      </c>
      <c r="CA52" s="215"/>
      <c r="CB52" s="215"/>
      <c r="CC52" s="215"/>
      <c r="CD52" s="207">
        <f t="shared" si="122"/>
        <v>0.0017</v>
      </c>
      <c r="CE52" s="215">
        <f t="shared" si="123"/>
        <v>0.0017</v>
      </c>
      <c r="CF52" s="165">
        <f t="shared" si="124"/>
        <v>0.0017</v>
      </c>
      <c r="CG52" s="167">
        <f t="shared" si="125"/>
        <v>0.99</v>
      </c>
      <c r="CH52" s="163"/>
      <c r="CI52" s="163"/>
      <c r="CJ52" s="166"/>
      <c r="CK52" s="166"/>
      <c r="CL52" s="166"/>
      <c r="CM52" s="193"/>
      <c r="CN52" s="261"/>
      <c r="CO52" s="193"/>
      <c r="CP52" s="193">
        <f t="shared" si="126"/>
        <v>0.99</v>
      </c>
      <c r="CQ52" s="262">
        <v>1</v>
      </c>
      <c r="CR52" s="262"/>
      <c r="CS52" s="271">
        <v>1</v>
      </c>
      <c r="CT52" s="176">
        <v>55</v>
      </c>
      <c r="CU52" s="166">
        <f t="shared" si="92"/>
        <v>0.0111875267880355</v>
      </c>
      <c r="CV52" s="166">
        <f t="shared" si="93"/>
        <v>0.0111875267880355</v>
      </c>
      <c r="CW52" s="164">
        <f t="shared" si="127"/>
        <v>0.0122</v>
      </c>
      <c r="CX52" s="272">
        <f t="shared" si="94"/>
        <v>9.26</v>
      </c>
      <c r="CY52" s="273"/>
      <c r="CZ52" s="274"/>
      <c r="DA52" s="272"/>
      <c r="DB52" s="289"/>
      <c r="DC52" s="225"/>
      <c r="DD52" s="288">
        <f t="shared" si="128"/>
        <v>37.09</v>
      </c>
    </row>
    <row r="53" s="114" customFormat="1" ht="10" customHeight="1" spans="1:108">
      <c r="A53" s="161" t="s">
        <v>126</v>
      </c>
      <c r="B53" s="170">
        <v>1</v>
      </c>
      <c r="C53" s="163">
        <v>237891</v>
      </c>
      <c r="D53" s="164">
        <f t="shared" si="95"/>
        <v>0.0077</v>
      </c>
      <c r="E53" s="165">
        <f t="shared" si="96"/>
        <v>0.0077</v>
      </c>
      <c r="F53" s="166">
        <f t="shared" si="97"/>
        <v>0.00964730940299442</v>
      </c>
      <c r="G53" s="167">
        <f t="shared" si="98"/>
        <v>1.98</v>
      </c>
      <c r="H53" s="176">
        <v>172</v>
      </c>
      <c r="I53" s="190">
        <v>10064</v>
      </c>
      <c r="J53" s="191">
        <f t="shared" si="99"/>
        <v>0.0055</v>
      </c>
      <c r="K53" s="166">
        <f t="shared" si="100"/>
        <v>0.0055</v>
      </c>
      <c r="L53" s="192">
        <f t="shared" si="101"/>
        <v>0.0071</v>
      </c>
      <c r="M53" s="193">
        <f t="shared" si="102"/>
        <v>19.45</v>
      </c>
      <c r="N53" s="163"/>
      <c r="O53" s="163"/>
      <c r="P53" s="163"/>
      <c r="Q53" s="163">
        <v>142</v>
      </c>
      <c r="R53" s="166">
        <f t="shared" si="84"/>
        <v>0.002</v>
      </c>
      <c r="S53" s="166">
        <f t="shared" si="103"/>
        <v>0.002</v>
      </c>
      <c r="T53" s="166">
        <f t="shared" si="85"/>
        <v>0.00212426978226235</v>
      </c>
      <c r="U53" s="193">
        <f t="shared" si="86"/>
        <v>1.49</v>
      </c>
      <c r="V53" s="193"/>
      <c r="W53" s="193">
        <f t="shared" si="104"/>
        <v>1.49</v>
      </c>
      <c r="X53" s="168">
        <v>310</v>
      </c>
      <c r="Y53" s="206">
        <v>0</v>
      </c>
      <c r="Z53" s="206">
        <v>1</v>
      </c>
      <c r="AA53" s="206"/>
      <c r="AB53" s="191">
        <f t="shared" si="87"/>
        <v>0.0009</v>
      </c>
      <c r="AC53" s="204">
        <f t="shared" si="88"/>
        <v>0.0009</v>
      </c>
      <c r="AD53" s="166">
        <f t="shared" si="89"/>
        <v>0.0011</v>
      </c>
      <c r="AE53" s="193">
        <f t="shared" si="90"/>
        <v>1.46</v>
      </c>
      <c r="AF53" s="207"/>
      <c r="AG53" s="207"/>
      <c r="AH53" s="214">
        <v>1</v>
      </c>
      <c r="AI53" s="215"/>
      <c r="AJ53" s="215"/>
      <c r="AK53" s="215"/>
      <c r="AL53" s="165">
        <f t="shared" si="105"/>
        <v>0.000490918016691213</v>
      </c>
      <c r="AM53" s="165">
        <f t="shared" si="106"/>
        <v>0.000490918016691213</v>
      </c>
      <c r="AN53" s="165">
        <f t="shared" si="107"/>
        <v>0.0006</v>
      </c>
      <c r="AO53" s="225">
        <f t="shared" si="91"/>
        <v>0.12</v>
      </c>
      <c r="AP53" s="215"/>
      <c r="AQ53" s="215"/>
      <c r="AR53" s="225">
        <f t="shared" si="108"/>
        <v>0</v>
      </c>
      <c r="AS53" s="167">
        <f t="shared" si="109"/>
        <v>0.12</v>
      </c>
      <c r="AT53" s="176">
        <v>1</v>
      </c>
      <c r="AU53" s="176"/>
      <c r="AV53" s="176"/>
      <c r="AW53" s="176"/>
      <c r="AX53" s="176"/>
      <c r="AY53" s="176"/>
      <c r="AZ53" s="176"/>
      <c r="BA53" s="176"/>
      <c r="BB53" s="176"/>
      <c r="BC53" s="176"/>
      <c r="BD53" s="228">
        <f t="shared" si="110"/>
        <v>0.0067</v>
      </c>
      <c r="BE53" s="164">
        <f t="shared" si="111"/>
        <v>0.0067</v>
      </c>
      <c r="BF53" s="164">
        <f t="shared" si="112"/>
        <v>0.0071</v>
      </c>
      <c r="BG53" s="167">
        <f t="shared" si="113"/>
        <v>1.34</v>
      </c>
      <c r="BH53" s="237"/>
      <c r="BI53" s="233">
        <v>428</v>
      </c>
      <c r="BJ53" s="164">
        <f t="shared" si="114"/>
        <v>0.00149937117493948</v>
      </c>
      <c r="BK53" s="164">
        <f t="shared" si="115"/>
        <v>0.00149937117493948</v>
      </c>
      <c r="BL53" s="164">
        <f t="shared" si="116"/>
        <v>0.00155392256527927</v>
      </c>
      <c r="BM53" s="167">
        <f t="shared" si="117"/>
        <v>0.3</v>
      </c>
      <c r="BN53" s="248">
        <v>6387</v>
      </c>
      <c r="BO53" s="248">
        <v>84</v>
      </c>
      <c r="BP53" s="248">
        <v>42</v>
      </c>
      <c r="BQ53" s="234"/>
      <c r="BR53" s="234"/>
      <c r="BS53" s="234"/>
      <c r="BT53" s="164">
        <f t="shared" si="118"/>
        <v>0.00734012455309017</v>
      </c>
      <c r="BU53" s="164">
        <f t="shared" si="119"/>
        <v>0.00734012455309017</v>
      </c>
      <c r="BV53" s="164">
        <f t="shared" si="120"/>
        <v>0.0075</v>
      </c>
      <c r="BW53" s="167">
        <f t="shared" si="121"/>
        <v>9.82</v>
      </c>
      <c r="BX53" s="215"/>
      <c r="BY53" s="215"/>
      <c r="BZ53" s="215">
        <v>1</v>
      </c>
      <c r="CA53" s="215"/>
      <c r="CB53" s="215"/>
      <c r="CC53" s="215"/>
      <c r="CD53" s="207">
        <f t="shared" si="122"/>
        <v>0.0017</v>
      </c>
      <c r="CE53" s="215">
        <f t="shared" si="123"/>
        <v>0.0017</v>
      </c>
      <c r="CF53" s="165">
        <f t="shared" si="124"/>
        <v>0.0017</v>
      </c>
      <c r="CG53" s="167">
        <f t="shared" si="125"/>
        <v>0.99</v>
      </c>
      <c r="CH53" s="163"/>
      <c r="CI53" s="163"/>
      <c r="CJ53" s="166"/>
      <c r="CK53" s="166"/>
      <c r="CL53" s="166"/>
      <c r="CM53" s="193"/>
      <c r="CN53" s="261"/>
      <c r="CO53" s="193"/>
      <c r="CP53" s="193">
        <f t="shared" si="126"/>
        <v>0.99</v>
      </c>
      <c r="CQ53" s="262">
        <v>1</v>
      </c>
      <c r="CR53" s="262"/>
      <c r="CS53" s="271">
        <v>1</v>
      </c>
      <c r="CT53" s="176">
        <v>63</v>
      </c>
      <c r="CU53" s="166">
        <f t="shared" si="92"/>
        <v>0.012720961769521</v>
      </c>
      <c r="CV53" s="166">
        <f t="shared" si="93"/>
        <v>0.012720961769521</v>
      </c>
      <c r="CW53" s="164">
        <f t="shared" si="127"/>
        <v>0.0138</v>
      </c>
      <c r="CX53" s="272">
        <f t="shared" si="94"/>
        <v>10.48</v>
      </c>
      <c r="CY53" s="273"/>
      <c r="CZ53" s="274"/>
      <c r="DA53" s="272"/>
      <c r="DB53" s="289"/>
      <c r="DC53" s="225"/>
      <c r="DD53" s="288">
        <f t="shared" si="128"/>
        <v>47.43</v>
      </c>
    </row>
    <row r="54" s="114" customFormat="1" ht="10" customHeight="1" spans="1:108">
      <c r="A54" s="161" t="s">
        <v>127</v>
      </c>
      <c r="B54" s="170">
        <v>1</v>
      </c>
      <c r="C54" s="163">
        <v>88444</v>
      </c>
      <c r="D54" s="164">
        <f t="shared" si="95"/>
        <v>0.0029</v>
      </c>
      <c r="E54" s="165">
        <f t="shared" si="96"/>
        <v>0.0029</v>
      </c>
      <c r="F54" s="166">
        <f t="shared" si="97"/>
        <v>0.00363340224268621</v>
      </c>
      <c r="G54" s="167">
        <f t="shared" si="98"/>
        <v>0.74</v>
      </c>
      <c r="H54" s="176">
        <v>172</v>
      </c>
      <c r="I54" s="190">
        <v>5072</v>
      </c>
      <c r="J54" s="191">
        <f t="shared" si="99"/>
        <v>0.0037</v>
      </c>
      <c r="K54" s="166">
        <f t="shared" si="100"/>
        <v>0.0037</v>
      </c>
      <c r="L54" s="192">
        <f t="shared" si="101"/>
        <v>0.0048</v>
      </c>
      <c r="M54" s="193">
        <f t="shared" si="102"/>
        <v>13.15</v>
      </c>
      <c r="N54" s="163"/>
      <c r="O54" s="163"/>
      <c r="P54" s="163"/>
      <c r="Q54" s="163">
        <v>56</v>
      </c>
      <c r="R54" s="166">
        <f t="shared" si="84"/>
        <v>0.0008</v>
      </c>
      <c r="S54" s="166">
        <f t="shared" si="103"/>
        <v>0.0008</v>
      </c>
      <c r="T54" s="166">
        <f t="shared" si="85"/>
        <v>0.000849707912904939</v>
      </c>
      <c r="U54" s="193">
        <f t="shared" si="86"/>
        <v>0.6</v>
      </c>
      <c r="V54" s="193"/>
      <c r="W54" s="193">
        <f t="shared" si="104"/>
        <v>0.6</v>
      </c>
      <c r="X54" s="168">
        <v>0</v>
      </c>
      <c r="Y54" s="206">
        <v>0</v>
      </c>
      <c r="Z54" s="206">
        <v>1</v>
      </c>
      <c r="AA54" s="206"/>
      <c r="AB54" s="191">
        <f t="shared" si="87"/>
        <v>0.0001</v>
      </c>
      <c r="AC54" s="204">
        <f t="shared" si="88"/>
        <v>0.0001</v>
      </c>
      <c r="AD54" s="166">
        <f t="shared" si="89"/>
        <v>0.0001</v>
      </c>
      <c r="AE54" s="193">
        <f t="shared" si="90"/>
        <v>0.13</v>
      </c>
      <c r="AF54" s="207"/>
      <c r="AG54" s="207"/>
      <c r="AH54" s="214">
        <v>1</v>
      </c>
      <c r="AI54" s="215"/>
      <c r="AJ54" s="215"/>
      <c r="AK54" s="215"/>
      <c r="AL54" s="165">
        <f t="shared" si="105"/>
        <v>0.000490918016691213</v>
      </c>
      <c r="AM54" s="165">
        <f t="shared" si="106"/>
        <v>0.000490918016691213</v>
      </c>
      <c r="AN54" s="165">
        <f t="shared" si="107"/>
        <v>0.0006</v>
      </c>
      <c r="AO54" s="225">
        <f t="shared" si="91"/>
        <v>0.12</v>
      </c>
      <c r="AP54" s="215"/>
      <c r="AQ54" s="215"/>
      <c r="AR54" s="225">
        <f t="shared" si="108"/>
        <v>0</v>
      </c>
      <c r="AS54" s="167">
        <f t="shared" si="109"/>
        <v>0.12</v>
      </c>
      <c r="AT54" s="176">
        <v>1</v>
      </c>
      <c r="AU54" s="176"/>
      <c r="AV54" s="176"/>
      <c r="AW54" s="176"/>
      <c r="AX54" s="176"/>
      <c r="AY54" s="176"/>
      <c r="AZ54" s="176"/>
      <c r="BA54" s="176"/>
      <c r="BB54" s="176"/>
      <c r="BC54" s="176"/>
      <c r="BD54" s="228">
        <f t="shared" si="110"/>
        <v>0.0067</v>
      </c>
      <c r="BE54" s="164">
        <f t="shared" si="111"/>
        <v>0.0067</v>
      </c>
      <c r="BF54" s="164">
        <f t="shared" si="112"/>
        <v>0.0071</v>
      </c>
      <c r="BG54" s="167">
        <f t="shared" si="113"/>
        <v>1.34</v>
      </c>
      <c r="BH54" s="237">
        <v>3</v>
      </c>
      <c r="BI54" s="233">
        <v>179</v>
      </c>
      <c r="BJ54" s="164">
        <f t="shared" si="114"/>
        <v>0.00349619727240562</v>
      </c>
      <c r="BK54" s="164">
        <f t="shared" si="115"/>
        <v>0.00349619727240562</v>
      </c>
      <c r="BL54" s="164">
        <f t="shared" si="116"/>
        <v>0.00362339887885213</v>
      </c>
      <c r="BM54" s="167">
        <f t="shared" si="117"/>
        <v>0.7</v>
      </c>
      <c r="BN54" s="248">
        <v>2517</v>
      </c>
      <c r="BO54" s="248">
        <v>52</v>
      </c>
      <c r="BP54" s="248">
        <v>26</v>
      </c>
      <c r="BQ54" s="234"/>
      <c r="BR54" s="234"/>
      <c r="BS54" s="234"/>
      <c r="BT54" s="164">
        <f t="shared" si="118"/>
        <v>0.00355211298190645</v>
      </c>
      <c r="BU54" s="164">
        <f t="shared" si="119"/>
        <v>0.00355211298190645</v>
      </c>
      <c r="BV54" s="164">
        <f t="shared" si="120"/>
        <v>0.0036</v>
      </c>
      <c r="BW54" s="167">
        <f t="shared" si="121"/>
        <v>4.71</v>
      </c>
      <c r="BX54" s="215"/>
      <c r="BY54" s="215">
        <v>1</v>
      </c>
      <c r="BZ54" s="215">
        <v>1</v>
      </c>
      <c r="CA54" s="215"/>
      <c r="CB54" s="215"/>
      <c r="CC54" s="215"/>
      <c r="CD54" s="207">
        <f t="shared" si="122"/>
        <v>0.0069</v>
      </c>
      <c r="CE54" s="215">
        <f t="shared" si="123"/>
        <v>0.0069</v>
      </c>
      <c r="CF54" s="165">
        <f t="shared" si="124"/>
        <v>0.007</v>
      </c>
      <c r="CG54" s="167">
        <f t="shared" si="125"/>
        <v>4.06</v>
      </c>
      <c r="CH54" s="163"/>
      <c r="CI54" s="163"/>
      <c r="CJ54" s="166"/>
      <c r="CK54" s="166"/>
      <c r="CL54" s="166"/>
      <c r="CM54" s="193"/>
      <c r="CN54" s="261"/>
      <c r="CO54" s="193"/>
      <c r="CP54" s="193">
        <f t="shared" si="126"/>
        <v>4.06</v>
      </c>
      <c r="CQ54" s="262">
        <v>1</v>
      </c>
      <c r="CR54" s="262"/>
      <c r="CS54" s="271">
        <v>1</v>
      </c>
      <c r="CT54" s="176">
        <v>45</v>
      </c>
      <c r="CU54" s="166">
        <f t="shared" si="92"/>
        <v>0.0092707330611786</v>
      </c>
      <c r="CV54" s="166">
        <f t="shared" si="93"/>
        <v>0.0092707330611786</v>
      </c>
      <c r="CW54" s="164">
        <f t="shared" si="127"/>
        <v>0.0101</v>
      </c>
      <c r="CX54" s="272">
        <f t="shared" si="94"/>
        <v>7.67</v>
      </c>
      <c r="CY54" s="273"/>
      <c r="CZ54" s="274"/>
      <c r="DA54" s="272"/>
      <c r="DB54" s="289"/>
      <c r="DC54" s="225"/>
      <c r="DD54" s="288">
        <f t="shared" si="128"/>
        <v>33.22</v>
      </c>
    </row>
    <row r="55" s="114" customFormat="1" ht="10" customHeight="1" spans="1:108">
      <c r="A55" s="161" t="s">
        <v>128</v>
      </c>
      <c r="B55" s="170">
        <v>1</v>
      </c>
      <c r="C55" s="163">
        <v>91107</v>
      </c>
      <c r="D55" s="164">
        <f t="shared" si="95"/>
        <v>0.003</v>
      </c>
      <c r="E55" s="165">
        <f t="shared" si="96"/>
        <v>0.003</v>
      </c>
      <c r="F55" s="166">
        <f t="shared" si="97"/>
        <v>0.00375869197519263</v>
      </c>
      <c r="G55" s="167">
        <f t="shared" si="98"/>
        <v>0.77</v>
      </c>
      <c r="H55" s="176">
        <v>167</v>
      </c>
      <c r="I55" s="190">
        <v>6907</v>
      </c>
      <c r="J55" s="191">
        <f t="shared" si="99"/>
        <v>0.0043</v>
      </c>
      <c r="K55" s="166">
        <f t="shared" si="100"/>
        <v>0.0043</v>
      </c>
      <c r="L55" s="192">
        <f t="shared" si="101"/>
        <v>0.0056</v>
      </c>
      <c r="M55" s="193">
        <f t="shared" si="102"/>
        <v>15.34</v>
      </c>
      <c r="N55" s="163"/>
      <c r="O55" s="163"/>
      <c r="P55" s="163"/>
      <c r="Q55" s="163">
        <v>107</v>
      </c>
      <c r="R55" s="166">
        <f t="shared" si="84"/>
        <v>0.0015</v>
      </c>
      <c r="S55" s="166">
        <f t="shared" si="103"/>
        <v>0.0015</v>
      </c>
      <c r="T55" s="166">
        <f t="shared" si="85"/>
        <v>0.00159320233669676</v>
      </c>
      <c r="U55" s="193">
        <f t="shared" si="86"/>
        <v>1.12</v>
      </c>
      <c r="V55" s="193"/>
      <c r="W55" s="193">
        <f t="shared" si="104"/>
        <v>1.12</v>
      </c>
      <c r="X55" s="168">
        <v>0</v>
      </c>
      <c r="Y55" s="206">
        <v>0</v>
      </c>
      <c r="Z55" s="206">
        <v>1</v>
      </c>
      <c r="AA55" s="206"/>
      <c r="AB55" s="191">
        <f t="shared" si="87"/>
        <v>0.0001</v>
      </c>
      <c r="AC55" s="204">
        <f t="shared" si="88"/>
        <v>0.0001</v>
      </c>
      <c r="AD55" s="166">
        <f t="shared" si="89"/>
        <v>0.0001</v>
      </c>
      <c r="AE55" s="193">
        <f t="shared" si="90"/>
        <v>0.13</v>
      </c>
      <c r="AF55" s="207"/>
      <c r="AG55" s="207"/>
      <c r="AH55" s="214">
        <v>1</v>
      </c>
      <c r="AI55" s="215"/>
      <c r="AJ55" s="215"/>
      <c r="AK55" s="215"/>
      <c r="AL55" s="165">
        <f t="shared" si="105"/>
        <v>0.000490918016691213</v>
      </c>
      <c r="AM55" s="165">
        <f t="shared" si="106"/>
        <v>0.000490918016691213</v>
      </c>
      <c r="AN55" s="165">
        <f t="shared" si="107"/>
        <v>0.0006</v>
      </c>
      <c r="AO55" s="225">
        <f t="shared" si="91"/>
        <v>0.12</v>
      </c>
      <c r="AP55" s="215"/>
      <c r="AQ55" s="215"/>
      <c r="AR55" s="225">
        <f t="shared" si="108"/>
        <v>0</v>
      </c>
      <c r="AS55" s="167">
        <f t="shared" si="109"/>
        <v>0.12</v>
      </c>
      <c r="AT55" s="176">
        <v>1</v>
      </c>
      <c r="AU55" s="176"/>
      <c r="AV55" s="176"/>
      <c r="AW55" s="176"/>
      <c r="AX55" s="176"/>
      <c r="AY55" s="176"/>
      <c r="AZ55" s="176"/>
      <c r="BA55" s="176"/>
      <c r="BB55" s="176"/>
      <c r="BC55" s="176"/>
      <c r="BD55" s="228">
        <f t="shared" si="110"/>
        <v>0.0067</v>
      </c>
      <c r="BE55" s="164">
        <f t="shared" si="111"/>
        <v>0.0067</v>
      </c>
      <c r="BF55" s="164">
        <f t="shared" si="112"/>
        <v>0.0071</v>
      </c>
      <c r="BG55" s="167">
        <f t="shared" si="113"/>
        <v>1.34</v>
      </c>
      <c r="BH55" s="232">
        <v>2</v>
      </c>
      <c r="BI55" s="233">
        <v>226</v>
      </c>
      <c r="BJ55" s="164">
        <f t="shared" si="114"/>
        <v>0.00270447324077869</v>
      </c>
      <c r="BK55" s="164">
        <f t="shared" si="115"/>
        <v>0.00270447324077869</v>
      </c>
      <c r="BL55" s="164">
        <f t="shared" si="116"/>
        <v>0.00280286967382149</v>
      </c>
      <c r="BM55" s="167">
        <f t="shared" si="117"/>
        <v>0.54</v>
      </c>
      <c r="BN55" s="248">
        <v>3252</v>
      </c>
      <c r="BO55" s="248">
        <v>68</v>
      </c>
      <c r="BP55" s="248">
        <v>34</v>
      </c>
      <c r="BQ55" s="234"/>
      <c r="BR55" s="234"/>
      <c r="BS55" s="234"/>
      <c r="BT55" s="164">
        <f t="shared" si="118"/>
        <v>0.00461783296236263</v>
      </c>
      <c r="BU55" s="164">
        <f t="shared" si="119"/>
        <v>0.00461783296236263</v>
      </c>
      <c r="BV55" s="164">
        <f t="shared" si="120"/>
        <v>0.0047</v>
      </c>
      <c r="BW55" s="167">
        <f t="shared" si="121"/>
        <v>6.15</v>
      </c>
      <c r="BX55" s="215"/>
      <c r="BY55" s="215"/>
      <c r="BZ55" s="215">
        <v>1</v>
      </c>
      <c r="CA55" s="215"/>
      <c r="CB55" s="215"/>
      <c r="CC55" s="215"/>
      <c r="CD55" s="207">
        <f t="shared" si="122"/>
        <v>0.0017</v>
      </c>
      <c r="CE55" s="215">
        <f t="shared" si="123"/>
        <v>0.0017</v>
      </c>
      <c r="CF55" s="165">
        <f t="shared" si="124"/>
        <v>0.0017</v>
      </c>
      <c r="CG55" s="167">
        <f t="shared" si="125"/>
        <v>0.99</v>
      </c>
      <c r="CH55" s="163"/>
      <c r="CI55" s="163"/>
      <c r="CJ55" s="166"/>
      <c r="CK55" s="166"/>
      <c r="CL55" s="166"/>
      <c r="CM55" s="193"/>
      <c r="CN55" s="261"/>
      <c r="CO55" s="193"/>
      <c r="CP55" s="193">
        <f t="shared" si="126"/>
        <v>0.99</v>
      </c>
      <c r="CQ55" s="262">
        <v>1</v>
      </c>
      <c r="CR55" s="262"/>
      <c r="CS55" s="271">
        <v>1</v>
      </c>
      <c r="CT55" s="176">
        <v>55</v>
      </c>
      <c r="CU55" s="166">
        <f t="shared" si="92"/>
        <v>0.0111875267880355</v>
      </c>
      <c r="CV55" s="166">
        <f t="shared" si="93"/>
        <v>0.0111875267880355</v>
      </c>
      <c r="CW55" s="164">
        <f t="shared" si="127"/>
        <v>0.0122</v>
      </c>
      <c r="CX55" s="272">
        <f t="shared" si="94"/>
        <v>9.26</v>
      </c>
      <c r="CY55" s="273"/>
      <c r="CZ55" s="274"/>
      <c r="DA55" s="272"/>
      <c r="DB55" s="289"/>
      <c r="DC55" s="225"/>
      <c r="DD55" s="288">
        <f t="shared" si="128"/>
        <v>35.76</v>
      </c>
    </row>
    <row r="56" s="114" customFormat="1" ht="10" customHeight="1" spans="1:108">
      <c r="A56" s="161" t="s">
        <v>129</v>
      </c>
      <c r="B56" s="170">
        <v>1</v>
      </c>
      <c r="C56" s="163">
        <v>299475</v>
      </c>
      <c r="D56" s="164">
        <f t="shared" si="95"/>
        <v>0.0097</v>
      </c>
      <c r="E56" s="165">
        <f t="shared" si="96"/>
        <v>0.0097</v>
      </c>
      <c r="F56" s="166">
        <f t="shared" si="97"/>
        <v>0.0121531040531228</v>
      </c>
      <c r="G56" s="167">
        <f t="shared" si="98"/>
        <v>2.49</v>
      </c>
      <c r="H56" s="176">
        <v>709</v>
      </c>
      <c r="I56" s="190">
        <v>13902</v>
      </c>
      <c r="J56" s="191">
        <f t="shared" si="99"/>
        <v>0.0126</v>
      </c>
      <c r="K56" s="166">
        <f t="shared" si="100"/>
        <v>0.0126</v>
      </c>
      <c r="L56" s="192">
        <f t="shared" si="101"/>
        <v>0.0164</v>
      </c>
      <c r="M56" s="193">
        <f t="shared" si="102"/>
        <v>44.92</v>
      </c>
      <c r="N56" s="163"/>
      <c r="O56" s="163">
        <v>1</v>
      </c>
      <c r="P56" s="163"/>
      <c r="Q56" s="163">
        <v>138</v>
      </c>
      <c r="R56" s="166">
        <f t="shared" si="84"/>
        <v>0.0374</v>
      </c>
      <c r="S56" s="166">
        <f t="shared" si="103"/>
        <v>0.0374</v>
      </c>
      <c r="T56" s="166">
        <f t="shared" si="85"/>
        <v>0.0397238449283059</v>
      </c>
      <c r="U56" s="193">
        <f t="shared" si="86"/>
        <v>27.86</v>
      </c>
      <c r="V56" s="193"/>
      <c r="W56" s="193">
        <f t="shared" si="104"/>
        <v>27.86</v>
      </c>
      <c r="X56" s="168">
        <v>0</v>
      </c>
      <c r="Y56" s="206">
        <v>0</v>
      </c>
      <c r="Z56" s="206">
        <v>1</v>
      </c>
      <c r="AA56" s="206"/>
      <c r="AB56" s="191">
        <f t="shared" si="87"/>
        <v>0.0001</v>
      </c>
      <c r="AC56" s="204">
        <f t="shared" si="88"/>
        <v>0.0001</v>
      </c>
      <c r="AD56" s="166">
        <f t="shared" si="89"/>
        <v>0.0001</v>
      </c>
      <c r="AE56" s="193">
        <f t="shared" si="90"/>
        <v>0.13</v>
      </c>
      <c r="AF56" s="207"/>
      <c r="AG56" s="207"/>
      <c r="AH56" s="214">
        <v>1</v>
      </c>
      <c r="AI56" s="215"/>
      <c r="AJ56" s="215"/>
      <c r="AK56" s="215"/>
      <c r="AL56" s="165">
        <f t="shared" si="105"/>
        <v>0.000490918016691213</v>
      </c>
      <c r="AM56" s="165">
        <f t="shared" si="106"/>
        <v>0.000490918016691213</v>
      </c>
      <c r="AN56" s="165">
        <f t="shared" si="107"/>
        <v>0.0006</v>
      </c>
      <c r="AO56" s="225">
        <f t="shared" si="91"/>
        <v>0.12</v>
      </c>
      <c r="AP56" s="215">
        <v>10</v>
      </c>
      <c r="AQ56" s="215">
        <f>ROUND((AP56*5.026)/95.5,4)</f>
        <v>0.5263</v>
      </c>
      <c r="AR56" s="225">
        <f>ROUND(AQ56*95.5,2)</f>
        <v>50.26</v>
      </c>
      <c r="AS56" s="167">
        <f t="shared" si="109"/>
        <v>50.38</v>
      </c>
      <c r="AT56" s="176">
        <v>1</v>
      </c>
      <c r="AU56" s="176"/>
      <c r="AV56" s="176">
        <v>250</v>
      </c>
      <c r="AW56" s="176"/>
      <c r="AX56" s="176"/>
      <c r="AY56" s="176"/>
      <c r="AZ56" s="176"/>
      <c r="BA56" s="176"/>
      <c r="BB56" s="176"/>
      <c r="BC56" s="176"/>
      <c r="BD56" s="228">
        <f t="shared" si="110"/>
        <v>0.015</v>
      </c>
      <c r="BE56" s="164">
        <f t="shared" si="111"/>
        <v>0.015</v>
      </c>
      <c r="BF56" s="164">
        <f t="shared" si="112"/>
        <v>0.0159</v>
      </c>
      <c r="BG56" s="167">
        <f t="shared" si="113"/>
        <v>3</v>
      </c>
      <c r="BH56" s="237"/>
      <c r="BI56" s="233">
        <v>491</v>
      </c>
      <c r="BJ56" s="164">
        <f t="shared" si="114"/>
        <v>0.00172007300676469</v>
      </c>
      <c r="BK56" s="164">
        <f t="shared" si="115"/>
        <v>0.00172007300676469</v>
      </c>
      <c r="BL56" s="164">
        <f t="shared" si="116"/>
        <v>0.00178265415783206</v>
      </c>
      <c r="BM56" s="167">
        <f t="shared" si="117"/>
        <v>0.35</v>
      </c>
      <c r="BN56" s="248">
        <v>6343</v>
      </c>
      <c r="BO56" s="248">
        <v>100</v>
      </c>
      <c r="BP56" s="248">
        <v>50</v>
      </c>
      <c r="BQ56" s="248"/>
      <c r="BR56" s="248"/>
      <c r="BS56" s="248"/>
      <c r="BT56" s="164">
        <f t="shared" si="118"/>
        <v>0.0078681489983791</v>
      </c>
      <c r="BU56" s="164">
        <f t="shared" si="119"/>
        <v>0.0078681489983791</v>
      </c>
      <c r="BV56" s="164">
        <f t="shared" si="120"/>
        <v>0.008</v>
      </c>
      <c r="BW56" s="167">
        <f t="shared" si="121"/>
        <v>10.48</v>
      </c>
      <c r="BX56" s="215"/>
      <c r="BY56" s="215"/>
      <c r="BZ56" s="215">
        <v>1</v>
      </c>
      <c r="CA56" s="215"/>
      <c r="CB56" s="215"/>
      <c r="CC56" s="215"/>
      <c r="CD56" s="207">
        <f t="shared" si="122"/>
        <v>0.0017</v>
      </c>
      <c r="CE56" s="215">
        <f t="shared" si="123"/>
        <v>0.0017</v>
      </c>
      <c r="CF56" s="165">
        <f t="shared" si="124"/>
        <v>0.0017</v>
      </c>
      <c r="CG56" s="167">
        <f t="shared" si="125"/>
        <v>0.99</v>
      </c>
      <c r="CH56" s="163"/>
      <c r="CI56" s="163"/>
      <c r="CJ56" s="166"/>
      <c r="CK56" s="166"/>
      <c r="CL56" s="166"/>
      <c r="CM56" s="193"/>
      <c r="CN56" s="261"/>
      <c r="CO56" s="193"/>
      <c r="CP56" s="193">
        <f t="shared" si="126"/>
        <v>0.99</v>
      </c>
      <c r="CQ56" s="262">
        <v>1</v>
      </c>
      <c r="CR56" s="262"/>
      <c r="CS56" s="271">
        <v>1</v>
      </c>
      <c r="CT56" s="176">
        <v>73</v>
      </c>
      <c r="CU56" s="166">
        <f t="shared" si="92"/>
        <v>0.0146377554963779</v>
      </c>
      <c r="CV56" s="166">
        <f t="shared" si="93"/>
        <v>0.0146377554963779</v>
      </c>
      <c r="CW56" s="164">
        <f t="shared" si="127"/>
        <v>0.0159</v>
      </c>
      <c r="CX56" s="272">
        <f t="shared" si="94"/>
        <v>12.07</v>
      </c>
      <c r="CY56" s="277"/>
      <c r="CZ56" s="278"/>
      <c r="DA56" s="291"/>
      <c r="DB56" s="292"/>
      <c r="DC56" s="225"/>
      <c r="DD56" s="288">
        <f t="shared" si="128"/>
        <v>152.67</v>
      </c>
    </row>
    <row r="57" s="114" customFormat="1" ht="10" customHeight="1" spans="1:108">
      <c r="A57" s="161" t="s">
        <v>130</v>
      </c>
      <c r="B57" s="170">
        <v>1</v>
      </c>
      <c r="C57" s="163">
        <v>28167</v>
      </c>
      <c r="D57" s="164">
        <f t="shared" si="95"/>
        <v>0.0009</v>
      </c>
      <c r="E57" s="165">
        <f t="shared" si="96"/>
        <v>0.0009</v>
      </c>
      <c r="F57" s="166">
        <f t="shared" si="97"/>
        <v>0.00112760759255779</v>
      </c>
      <c r="G57" s="167">
        <f t="shared" si="98"/>
        <v>0.23</v>
      </c>
      <c r="H57" s="176">
        <v>62</v>
      </c>
      <c r="I57" s="190">
        <v>1412</v>
      </c>
      <c r="J57" s="191">
        <f t="shared" si="99"/>
        <v>0.0012</v>
      </c>
      <c r="K57" s="166">
        <f t="shared" si="100"/>
        <v>0.0012</v>
      </c>
      <c r="L57" s="192">
        <f t="shared" si="101"/>
        <v>0.0016</v>
      </c>
      <c r="M57" s="193">
        <f t="shared" si="102"/>
        <v>4.38</v>
      </c>
      <c r="N57" s="163"/>
      <c r="O57" s="163"/>
      <c r="P57" s="163"/>
      <c r="Q57" s="163">
        <v>19</v>
      </c>
      <c r="R57" s="166">
        <f t="shared" si="84"/>
        <v>0.0003</v>
      </c>
      <c r="S57" s="166">
        <f t="shared" si="103"/>
        <v>0.0003</v>
      </c>
      <c r="T57" s="166">
        <f t="shared" si="85"/>
        <v>0.000318640467339352</v>
      </c>
      <c r="U57" s="193">
        <f t="shared" si="86"/>
        <v>0.22</v>
      </c>
      <c r="V57" s="193"/>
      <c r="W57" s="193">
        <f t="shared" si="104"/>
        <v>0.22</v>
      </c>
      <c r="X57" s="168">
        <v>0</v>
      </c>
      <c r="Y57" s="206">
        <v>0</v>
      </c>
      <c r="Z57" s="206">
        <v>1</v>
      </c>
      <c r="AA57" s="206"/>
      <c r="AB57" s="191">
        <f t="shared" si="87"/>
        <v>0.0001</v>
      </c>
      <c r="AC57" s="204">
        <f t="shared" si="88"/>
        <v>0.0001</v>
      </c>
      <c r="AD57" s="166">
        <f t="shared" si="89"/>
        <v>0.0001</v>
      </c>
      <c r="AE57" s="193">
        <f t="shared" si="90"/>
        <v>0.13</v>
      </c>
      <c r="AF57" s="207"/>
      <c r="AG57" s="207"/>
      <c r="AH57" s="214">
        <v>1</v>
      </c>
      <c r="AI57" s="215"/>
      <c r="AJ57" s="215"/>
      <c r="AK57" s="215"/>
      <c r="AL57" s="165">
        <f t="shared" si="105"/>
        <v>0.000490918016691213</v>
      </c>
      <c r="AM57" s="165">
        <f t="shared" si="106"/>
        <v>0.000490918016691213</v>
      </c>
      <c r="AN57" s="165">
        <f t="shared" si="107"/>
        <v>0.0006</v>
      </c>
      <c r="AO57" s="225">
        <f t="shared" si="91"/>
        <v>0.12</v>
      </c>
      <c r="AP57" s="215"/>
      <c r="AQ57" s="215"/>
      <c r="AR57" s="225">
        <f t="shared" si="108"/>
        <v>0</v>
      </c>
      <c r="AS57" s="167">
        <f t="shared" si="109"/>
        <v>0.12</v>
      </c>
      <c r="AT57" s="176">
        <v>1</v>
      </c>
      <c r="AU57" s="176"/>
      <c r="AV57" s="176"/>
      <c r="AW57" s="176"/>
      <c r="AX57" s="176"/>
      <c r="AY57" s="176"/>
      <c r="AZ57" s="176"/>
      <c r="BA57" s="176"/>
      <c r="BB57" s="176"/>
      <c r="BC57" s="176"/>
      <c r="BD57" s="228">
        <f t="shared" si="110"/>
        <v>0.0067</v>
      </c>
      <c r="BE57" s="164">
        <f t="shared" si="111"/>
        <v>0.0067</v>
      </c>
      <c r="BF57" s="164">
        <f t="shared" si="112"/>
        <v>0.0071</v>
      </c>
      <c r="BG57" s="167">
        <f t="shared" si="113"/>
        <v>1.34</v>
      </c>
      <c r="BH57" s="237"/>
      <c r="BI57" s="233">
        <v>47</v>
      </c>
      <c r="BJ57" s="164">
        <f t="shared" si="114"/>
        <v>0.000164650572948962</v>
      </c>
      <c r="BK57" s="164">
        <f t="shared" si="115"/>
        <v>0.000164650572948962</v>
      </c>
      <c r="BL57" s="164">
        <f t="shared" si="116"/>
        <v>0.00017064102936478</v>
      </c>
      <c r="BM57" s="167">
        <f t="shared" si="117"/>
        <v>0.03</v>
      </c>
      <c r="BN57" s="248">
        <v>750</v>
      </c>
      <c r="BO57" s="248">
        <v>48</v>
      </c>
      <c r="BP57" s="248">
        <v>24</v>
      </c>
      <c r="BQ57" s="248"/>
      <c r="BR57" s="248"/>
      <c r="BS57" s="248"/>
      <c r="BT57" s="164">
        <f t="shared" si="118"/>
        <v>0.00219286340264152</v>
      </c>
      <c r="BU57" s="164">
        <f t="shared" si="119"/>
        <v>0.00219286340264152</v>
      </c>
      <c r="BV57" s="164">
        <f t="shared" si="120"/>
        <v>0.0022</v>
      </c>
      <c r="BW57" s="167">
        <f t="shared" si="121"/>
        <v>2.88</v>
      </c>
      <c r="BX57" s="215"/>
      <c r="BY57" s="215"/>
      <c r="BZ57" s="215">
        <v>1</v>
      </c>
      <c r="CA57" s="215"/>
      <c r="CB57" s="215"/>
      <c r="CC57" s="215"/>
      <c r="CD57" s="207">
        <f t="shared" si="122"/>
        <v>0.0017</v>
      </c>
      <c r="CE57" s="215">
        <f t="shared" si="123"/>
        <v>0.0017</v>
      </c>
      <c r="CF57" s="165">
        <f t="shared" si="124"/>
        <v>0.0017</v>
      </c>
      <c r="CG57" s="167">
        <f t="shared" si="125"/>
        <v>0.99</v>
      </c>
      <c r="CH57" s="163"/>
      <c r="CI57" s="163"/>
      <c r="CJ57" s="166"/>
      <c r="CK57" s="166"/>
      <c r="CL57" s="166"/>
      <c r="CM57" s="193"/>
      <c r="CN57" s="261"/>
      <c r="CO57" s="193"/>
      <c r="CP57" s="193">
        <f t="shared" si="126"/>
        <v>0.99</v>
      </c>
      <c r="CQ57" s="262">
        <v>1</v>
      </c>
      <c r="CR57" s="262"/>
      <c r="CS57" s="271">
        <v>1</v>
      </c>
      <c r="CT57" s="176">
        <v>29</v>
      </c>
      <c r="CU57" s="166">
        <f t="shared" si="92"/>
        <v>0.00620386309820757</v>
      </c>
      <c r="CV57" s="166">
        <f t="shared" si="93"/>
        <v>0.00620386309820757</v>
      </c>
      <c r="CW57" s="164">
        <f t="shared" si="127"/>
        <v>0.0067</v>
      </c>
      <c r="CX57" s="272">
        <f t="shared" si="94"/>
        <v>5.09</v>
      </c>
      <c r="CY57" s="273"/>
      <c r="CZ57" s="274"/>
      <c r="DA57" s="272"/>
      <c r="DB57" s="289"/>
      <c r="DC57" s="225"/>
      <c r="DD57" s="288">
        <f t="shared" si="128"/>
        <v>15.41</v>
      </c>
    </row>
    <row r="58" s="114" customFormat="1" ht="10" customHeight="1" spans="1:108">
      <c r="A58" s="161" t="s">
        <v>131</v>
      </c>
      <c r="B58" s="170">
        <v>1</v>
      </c>
      <c r="C58" s="163">
        <v>42846</v>
      </c>
      <c r="D58" s="164">
        <f t="shared" si="95"/>
        <v>0.0014</v>
      </c>
      <c r="E58" s="165">
        <f t="shared" si="96"/>
        <v>0.0014</v>
      </c>
      <c r="F58" s="166">
        <f t="shared" si="97"/>
        <v>0.0017540562550899</v>
      </c>
      <c r="G58" s="167">
        <f t="shared" si="98"/>
        <v>0.36</v>
      </c>
      <c r="H58" s="176">
        <v>134</v>
      </c>
      <c r="I58" s="190">
        <v>1825</v>
      </c>
      <c r="J58" s="191">
        <f t="shared" si="99"/>
        <v>0.0021</v>
      </c>
      <c r="K58" s="166">
        <f t="shared" si="100"/>
        <v>0.0021</v>
      </c>
      <c r="L58" s="192">
        <f t="shared" si="101"/>
        <v>0.0027</v>
      </c>
      <c r="M58" s="193">
        <f t="shared" si="102"/>
        <v>7.39</v>
      </c>
      <c r="N58" s="163"/>
      <c r="O58" s="163"/>
      <c r="P58" s="163"/>
      <c r="Q58" s="163">
        <v>15</v>
      </c>
      <c r="R58" s="166">
        <f t="shared" si="84"/>
        <v>0.0002</v>
      </c>
      <c r="S58" s="166">
        <f t="shared" si="103"/>
        <v>0.0002</v>
      </c>
      <c r="T58" s="166">
        <f t="shared" si="85"/>
        <v>0.000212426978226235</v>
      </c>
      <c r="U58" s="193">
        <f t="shared" si="86"/>
        <v>0.15</v>
      </c>
      <c r="V58" s="193"/>
      <c r="W58" s="193">
        <f t="shared" si="104"/>
        <v>0.15</v>
      </c>
      <c r="X58" s="168">
        <v>0</v>
      </c>
      <c r="Y58" s="206">
        <v>0</v>
      </c>
      <c r="Z58" s="206">
        <v>1</v>
      </c>
      <c r="AA58" s="206"/>
      <c r="AB58" s="191">
        <f t="shared" si="87"/>
        <v>0.0001</v>
      </c>
      <c r="AC58" s="204">
        <f t="shared" si="88"/>
        <v>0.0001</v>
      </c>
      <c r="AD58" s="166">
        <f t="shared" si="89"/>
        <v>0.0001</v>
      </c>
      <c r="AE58" s="193">
        <f t="shared" si="90"/>
        <v>0.13</v>
      </c>
      <c r="AF58" s="207"/>
      <c r="AG58" s="207"/>
      <c r="AH58" s="214">
        <v>1</v>
      </c>
      <c r="AI58" s="215"/>
      <c r="AJ58" s="215"/>
      <c r="AK58" s="215"/>
      <c r="AL58" s="165">
        <f t="shared" si="105"/>
        <v>0.000490918016691213</v>
      </c>
      <c r="AM58" s="165">
        <f t="shared" si="106"/>
        <v>0.000490918016691213</v>
      </c>
      <c r="AN58" s="165">
        <f t="shared" si="107"/>
        <v>0.0006</v>
      </c>
      <c r="AO58" s="225">
        <f t="shared" si="91"/>
        <v>0.12</v>
      </c>
      <c r="AP58" s="215"/>
      <c r="AQ58" s="215"/>
      <c r="AR58" s="225">
        <f t="shared" si="108"/>
        <v>0</v>
      </c>
      <c r="AS58" s="167">
        <f t="shared" si="109"/>
        <v>0.12</v>
      </c>
      <c r="AT58" s="176">
        <v>1</v>
      </c>
      <c r="AU58" s="176"/>
      <c r="AV58" s="176"/>
      <c r="AW58" s="176"/>
      <c r="AX58" s="176"/>
      <c r="AY58" s="176">
        <v>1</v>
      </c>
      <c r="AZ58" s="176"/>
      <c r="BA58" s="176"/>
      <c r="BB58" s="176"/>
      <c r="BC58" s="176"/>
      <c r="BD58" s="228">
        <f t="shared" si="110"/>
        <v>0.0083</v>
      </c>
      <c r="BE58" s="164">
        <f t="shared" si="111"/>
        <v>0.0083</v>
      </c>
      <c r="BF58" s="164">
        <f t="shared" si="112"/>
        <v>0.0088</v>
      </c>
      <c r="BG58" s="167">
        <f t="shared" si="113"/>
        <v>1.66</v>
      </c>
      <c r="BH58" s="237"/>
      <c r="BI58" s="233">
        <v>67</v>
      </c>
      <c r="BJ58" s="164">
        <f t="shared" si="114"/>
        <v>0.000234714646544265</v>
      </c>
      <c r="BK58" s="164">
        <f t="shared" si="115"/>
        <v>0.000234714646544265</v>
      </c>
      <c r="BL58" s="164">
        <f t="shared" si="116"/>
        <v>0.000243254233349792</v>
      </c>
      <c r="BM58" s="167">
        <f t="shared" si="117"/>
        <v>0.05</v>
      </c>
      <c r="BN58" s="248">
        <v>796</v>
      </c>
      <c r="BO58" s="248">
        <v>28</v>
      </c>
      <c r="BP58" s="248">
        <v>14</v>
      </c>
      <c r="BQ58" s="248"/>
      <c r="BR58" s="248"/>
      <c r="BS58" s="248"/>
      <c r="BT58" s="164">
        <f t="shared" si="118"/>
        <v>0.00152662070249184</v>
      </c>
      <c r="BU58" s="164">
        <f t="shared" si="119"/>
        <v>0.00152662070249184</v>
      </c>
      <c r="BV58" s="164">
        <f t="shared" si="120"/>
        <v>0.0016</v>
      </c>
      <c r="BW58" s="167">
        <f t="shared" si="121"/>
        <v>2.1</v>
      </c>
      <c r="BX58" s="215"/>
      <c r="BY58" s="215">
        <v>1</v>
      </c>
      <c r="BZ58" s="215">
        <v>1</v>
      </c>
      <c r="CA58" s="215"/>
      <c r="CB58" s="215"/>
      <c r="CC58" s="215"/>
      <c r="CD58" s="207">
        <f t="shared" si="122"/>
        <v>0.0069</v>
      </c>
      <c r="CE58" s="215">
        <f t="shared" si="123"/>
        <v>0.0069</v>
      </c>
      <c r="CF58" s="165">
        <f t="shared" si="124"/>
        <v>0.007</v>
      </c>
      <c r="CG58" s="167">
        <f t="shared" si="125"/>
        <v>4.06</v>
      </c>
      <c r="CH58" s="163"/>
      <c r="CI58" s="163"/>
      <c r="CJ58" s="166"/>
      <c r="CK58" s="166"/>
      <c r="CL58" s="166"/>
      <c r="CM58" s="193"/>
      <c r="CN58" s="261"/>
      <c r="CO58" s="193"/>
      <c r="CP58" s="193">
        <f t="shared" si="126"/>
        <v>4.06</v>
      </c>
      <c r="CQ58" s="262">
        <v>1</v>
      </c>
      <c r="CR58" s="262"/>
      <c r="CS58" s="271">
        <v>1</v>
      </c>
      <c r="CT58" s="176">
        <v>29</v>
      </c>
      <c r="CU58" s="166">
        <f t="shared" si="92"/>
        <v>0.00620386309820757</v>
      </c>
      <c r="CV58" s="166">
        <f t="shared" si="93"/>
        <v>0.00620386309820757</v>
      </c>
      <c r="CW58" s="164">
        <f t="shared" si="127"/>
        <v>0.0067</v>
      </c>
      <c r="CX58" s="272">
        <f t="shared" si="94"/>
        <v>5.09</v>
      </c>
      <c r="CY58" s="273"/>
      <c r="CZ58" s="274"/>
      <c r="DA58" s="272"/>
      <c r="DB58" s="289"/>
      <c r="DC58" s="225"/>
      <c r="DD58" s="288">
        <f t="shared" si="128"/>
        <v>21.11</v>
      </c>
    </row>
    <row r="59" s="114" customFormat="1" ht="10" customHeight="1" spans="1:108">
      <c r="A59" s="161" t="s">
        <v>132</v>
      </c>
      <c r="B59" s="170">
        <v>1</v>
      </c>
      <c r="C59" s="163">
        <v>191278</v>
      </c>
      <c r="D59" s="164">
        <f t="shared" si="95"/>
        <v>0.0062</v>
      </c>
      <c r="E59" s="165">
        <f t="shared" si="96"/>
        <v>0.0062</v>
      </c>
      <c r="F59" s="166">
        <f t="shared" si="97"/>
        <v>0.00776796341539811</v>
      </c>
      <c r="G59" s="167">
        <f t="shared" si="98"/>
        <v>1.59</v>
      </c>
      <c r="H59" s="176">
        <v>111</v>
      </c>
      <c r="I59" s="190">
        <v>11536</v>
      </c>
      <c r="J59" s="191">
        <f t="shared" si="99"/>
        <v>0.0054</v>
      </c>
      <c r="K59" s="166">
        <f t="shared" si="100"/>
        <v>0.0054</v>
      </c>
      <c r="L59" s="192">
        <f t="shared" si="101"/>
        <v>0.007</v>
      </c>
      <c r="M59" s="193">
        <f t="shared" si="102"/>
        <v>19.17</v>
      </c>
      <c r="N59" s="163"/>
      <c r="O59" s="163"/>
      <c r="P59" s="163"/>
      <c r="Q59" s="163">
        <v>92</v>
      </c>
      <c r="R59" s="166">
        <f t="shared" si="84"/>
        <v>0.0013</v>
      </c>
      <c r="S59" s="166">
        <f t="shared" si="103"/>
        <v>0.0013</v>
      </c>
      <c r="T59" s="166">
        <f t="shared" si="85"/>
        <v>0.00138077535847053</v>
      </c>
      <c r="U59" s="193">
        <f t="shared" si="86"/>
        <v>0.97</v>
      </c>
      <c r="V59" s="193"/>
      <c r="W59" s="193">
        <f t="shared" si="104"/>
        <v>0.97</v>
      </c>
      <c r="X59" s="168">
        <v>0</v>
      </c>
      <c r="Y59" s="206">
        <v>0</v>
      </c>
      <c r="Z59" s="206">
        <v>1</v>
      </c>
      <c r="AA59" s="206"/>
      <c r="AB59" s="191">
        <f t="shared" si="87"/>
        <v>0.0001</v>
      </c>
      <c r="AC59" s="204">
        <f t="shared" si="88"/>
        <v>0.0001</v>
      </c>
      <c r="AD59" s="166">
        <f t="shared" si="89"/>
        <v>0.0001</v>
      </c>
      <c r="AE59" s="193">
        <f t="shared" si="90"/>
        <v>0.13</v>
      </c>
      <c r="AF59" s="207"/>
      <c r="AG59" s="207"/>
      <c r="AH59" s="214">
        <v>1</v>
      </c>
      <c r="AI59" s="215"/>
      <c r="AJ59" s="215"/>
      <c r="AK59" s="215"/>
      <c r="AL59" s="165">
        <f t="shared" si="105"/>
        <v>0.000490918016691213</v>
      </c>
      <c r="AM59" s="165">
        <f t="shared" si="106"/>
        <v>0.000490918016691213</v>
      </c>
      <c r="AN59" s="165">
        <f t="shared" si="107"/>
        <v>0.0006</v>
      </c>
      <c r="AO59" s="225">
        <f t="shared" si="91"/>
        <v>0.12</v>
      </c>
      <c r="AP59" s="215"/>
      <c r="AQ59" s="215"/>
      <c r="AR59" s="225">
        <f t="shared" si="108"/>
        <v>0</v>
      </c>
      <c r="AS59" s="167">
        <f t="shared" si="109"/>
        <v>0.12</v>
      </c>
      <c r="AT59" s="176">
        <v>1</v>
      </c>
      <c r="AU59" s="176"/>
      <c r="AV59" s="176"/>
      <c r="AW59" s="176"/>
      <c r="AX59" s="176"/>
      <c r="AY59" s="176">
        <v>1</v>
      </c>
      <c r="AZ59" s="176"/>
      <c r="BA59" s="176"/>
      <c r="BB59" s="176"/>
      <c r="BC59" s="176"/>
      <c r="BD59" s="228">
        <f t="shared" si="110"/>
        <v>0.0083</v>
      </c>
      <c r="BE59" s="164">
        <f t="shared" si="111"/>
        <v>0.0083</v>
      </c>
      <c r="BF59" s="164">
        <f t="shared" si="112"/>
        <v>0.0088</v>
      </c>
      <c r="BG59" s="167">
        <f t="shared" si="113"/>
        <v>1.66</v>
      </c>
      <c r="BH59" s="232">
        <v>1</v>
      </c>
      <c r="BI59" s="233">
        <v>446</v>
      </c>
      <c r="BJ59" s="164">
        <f t="shared" si="114"/>
        <v>0.00251880344575114</v>
      </c>
      <c r="BK59" s="164">
        <f t="shared" si="115"/>
        <v>0.00251880344575114</v>
      </c>
      <c r="BL59" s="164">
        <f t="shared" si="116"/>
        <v>0.0026104446832612</v>
      </c>
      <c r="BM59" s="167">
        <f t="shared" si="117"/>
        <v>0.51</v>
      </c>
      <c r="BN59" s="248">
        <v>5032</v>
      </c>
      <c r="BO59" s="248">
        <v>88</v>
      </c>
      <c r="BP59" s="248">
        <v>44</v>
      </c>
      <c r="BQ59" s="248"/>
      <c r="BR59" s="248"/>
      <c r="BS59" s="248"/>
      <c r="BT59" s="164">
        <f t="shared" si="118"/>
        <v>0.00654445056266044</v>
      </c>
      <c r="BU59" s="164">
        <f t="shared" si="119"/>
        <v>0.00654445056266044</v>
      </c>
      <c r="BV59" s="164">
        <f t="shared" si="120"/>
        <v>0.0067</v>
      </c>
      <c r="BW59" s="167">
        <f t="shared" si="121"/>
        <v>8.77</v>
      </c>
      <c r="BX59" s="215"/>
      <c r="BY59" s="215"/>
      <c r="BZ59" s="215">
        <v>1</v>
      </c>
      <c r="CA59" s="215"/>
      <c r="CB59" s="215"/>
      <c r="CC59" s="215"/>
      <c r="CD59" s="207">
        <f t="shared" si="122"/>
        <v>0.0017</v>
      </c>
      <c r="CE59" s="215">
        <f t="shared" si="123"/>
        <v>0.0017</v>
      </c>
      <c r="CF59" s="165">
        <f t="shared" si="124"/>
        <v>0.0017</v>
      </c>
      <c r="CG59" s="167">
        <f t="shared" si="125"/>
        <v>0.99</v>
      </c>
      <c r="CH59" s="163"/>
      <c r="CI59" s="163"/>
      <c r="CJ59" s="166"/>
      <c r="CK59" s="166"/>
      <c r="CL59" s="166"/>
      <c r="CM59" s="193"/>
      <c r="CN59" s="261"/>
      <c r="CO59" s="193"/>
      <c r="CP59" s="193">
        <f t="shared" si="126"/>
        <v>0.99</v>
      </c>
      <c r="CQ59" s="262">
        <v>1</v>
      </c>
      <c r="CR59" s="262"/>
      <c r="CS59" s="271">
        <v>1</v>
      </c>
      <c r="CT59" s="176">
        <v>67</v>
      </c>
      <c r="CU59" s="166">
        <f t="shared" si="92"/>
        <v>0.0134876792602638</v>
      </c>
      <c r="CV59" s="166">
        <f t="shared" si="93"/>
        <v>0.0134876792602638</v>
      </c>
      <c r="CW59" s="164">
        <f t="shared" si="127"/>
        <v>0.0147</v>
      </c>
      <c r="CX59" s="272">
        <f t="shared" si="94"/>
        <v>11.16</v>
      </c>
      <c r="CY59" s="273"/>
      <c r="CZ59" s="274"/>
      <c r="DA59" s="272"/>
      <c r="DB59" s="289"/>
      <c r="DC59" s="293"/>
      <c r="DD59" s="288">
        <f t="shared" si="128"/>
        <v>45.07</v>
      </c>
    </row>
    <row r="60" s="114" customFormat="1" ht="10" customHeight="1" spans="1:108">
      <c r="A60" s="161" t="s">
        <v>133</v>
      </c>
      <c r="B60" s="170">
        <v>1</v>
      </c>
      <c r="C60" s="163">
        <v>779523</v>
      </c>
      <c r="D60" s="164">
        <f t="shared" si="95"/>
        <v>0.0253</v>
      </c>
      <c r="E60" s="165">
        <f t="shared" si="96"/>
        <v>0.0253</v>
      </c>
      <c r="F60" s="166">
        <f t="shared" si="97"/>
        <v>0.0316983023241245</v>
      </c>
      <c r="G60" s="167">
        <f t="shared" si="98"/>
        <v>6.5</v>
      </c>
      <c r="H60" s="176">
        <v>715</v>
      </c>
      <c r="I60" s="190">
        <v>19803</v>
      </c>
      <c r="J60" s="191">
        <f t="shared" si="99"/>
        <v>0.0148</v>
      </c>
      <c r="K60" s="166">
        <f t="shared" si="100"/>
        <v>0.0148</v>
      </c>
      <c r="L60" s="192">
        <f t="shared" si="101"/>
        <v>0.0192</v>
      </c>
      <c r="M60" s="193">
        <f t="shared" si="102"/>
        <v>52.59</v>
      </c>
      <c r="N60" s="163"/>
      <c r="O60" s="163"/>
      <c r="P60" s="163"/>
      <c r="Q60" s="163">
        <v>209</v>
      </c>
      <c r="R60" s="166">
        <f t="shared" si="84"/>
        <v>0.003</v>
      </c>
      <c r="S60" s="166">
        <f t="shared" si="103"/>
        <v>0.003</v>
      </c>
      <c r="T60" s="166">
        <f t="shared" si="85"/>
        <v>0.00318640467339352</v>
      </c>
      <c r="U60" s="193">
        <f t="shared" si="86"/>
        <v>2.23</v>
      </c>
      <c r="V60" s="193"/>
      <c r="W60" s="193">
        <f t="shared" si="104"/>
        <v>2.23</v>
      </c>
      <c r="X60" s="168">
        <v>0</v>
      </c>
      <c r="Y60" s="206">
        <v>0</v>
      </c>
      <c r="Z60" s="206">
        <v>1</v>
      </c>
      <c r="AA60" s="206"/>
      <c r="AB60" s="191">
        <f t="shared" si="87"/>
        <v>0.0001</v>
      </c>
      <c r="AC60" s="204">
        <f t="shared" si="88"/>
        <v>0.0001</v>
      </c>
      <c r="AD60" s="166">
        <f t="shared" si="89"/>
        <v>0.0001</v>
      </c>
      <c r="AE60" s="193">
        <f t="shared" si="90"/>
        <v>0.13</v>
      </c>
      <c r="AF60" s="208"/>
      <c r="AG60" s="208"/>
      <c r="AH60" s="214">
        <v>1</v>
      </c>
      <c r="AI60" s="217"/>
      <c r="AJ60" s="217"/>
      <c r="AK60" s="215">
        <v>2.5</v>
      </c>
      <c r="AL60" s="165">
        <f t="shared" si="105"/>
        <v>0.0250368188512518</v>
      </c>
      <c r="AM60" s="165">
        <f t="shared" si="106"/>
        <v>0.0250368188512518</v>
      </c>
      <c r="AN60" s="165">
        <f t="shared" si="107"/>
        <v>0.0316</v>
      </c>
      <c r="AO60" s="225">
        <f t="shared" si="91"/>
        <v>6.44</v>
      </c>
      <c r="AP60" s="217"/>
      <c r="AQ60" s="217"/>
      <c r="AR60" s="225">
        <f t="shared" si="108"/>
        <v>0</v>
      </c>
      <c r="AS60" s="167">
        <f t="shared" si="109"/>
        <v>6.44</v>
      </c>
      <c r="AT60" s="176">
        <v>1</v>
      </c>
      <c r="AU60" s="176"/>
      <c r="AV60" s="176">
        <v>250</v>
      </c>
      <c r="AW60" s="176"/>
      <c r="AX60" s="176"/>
      <c r="AY60" s="176">
        <v>1</v>
      </c>
      <c r="AZ60" s="176"/>
      <c r="BA60" s="176"/>
      <c r="BB60" s="176">
        <v>1</v>
      </c>
      <c r="BC60" s="176"/>
      <c r="BD60" s="228">
        <f t="shared" si="110"/>
        <v>0.0266</v>
      </c>
      <c r="BE60" s="164">
        <f t="shared" si="111"/>
        <v>0.0266</v>
      </c>
      <c r="BF60" s="164">
        <f t="shared" si="112"/>
        <v>0.0282</v>
      </c>
      <c r="BG60" s="167">
        <f t="shared" si="113"/>
        <v>5.31</v>
      </c>
      <c r="BH60" s="232">
        <v>4</v>
      </c>
      <c r="BI60" s="233">
        <v>1054</v>
      </c>
      <c r="BJ60" s="164">
        <f t="shared" si="114"/>
        <v>0.007517875096776</v>
      </c>
      <c r="BK60" s="164">
        <f t="shared" si="115"/>
        <v>0.007517875096776</v>
      </c>
      <c r="BL60" s="164">
        <f t="shared" si="116"/>
        <v>0.00779139678759186</v>
      </c>
      <c r="BM60" s="167">
        <f t="shared" si="117"/>
        <v>1.51</v>
      </c>
      <c r="BN60" s="248">
        <v>9554</v>
      </c>
      <c r="BO60" s="248">
        <v>100</v>
      </c>
      <c r="BP60" s="248">
        <v>50</v>
      </c>
      <c r="BQ60" s="248"/>
      <c r="BR60" s="248"/>
      <c r="BS60" s="248"/>
      <c r="BT60" s="164">
        <f t="shared" si="118"/>
        <v>0.010084503765288</v>
      </c>
      <c r="BU60" s="164">
        <f t="shared" si="119"/>
        <v>0.010084503765288</v>
      </c>
      <c r="BV60" s="164">
        <f t="shared" si="120"/>
        <v>0.0103</v>
      </c>
      <c r="BW60" s="167">
        <f t="shared" si="121"/>
        <v>13.49</v>
      </c>
      <c r="BX60" s="217">
        <v>1</v>
      </c>
      <c r="BY60" s="217">
        <v>1</v>
      </c>
      <c r="BZ60" s="217">
        <v>1</v>
      </c>
      <c r="CA60" s="217"/>
      <c r="CB60" s="217"/>
      <c r="CC60" s="217"/>
      <c r="CD60" s="208">
        <f t="shared" si="122"/>
        <v>0.0328</v>
      </c>
      <c r="CE60" s="215">
        <f t="shared" si="123"/>
        <v>0.0328</v>
      </c>
      <c r="CF60" s="165">
        <f t="shared" si="124"/>
        <v>0.0331</v>
      </c>
      <c r="CG60" s="167">
        <f t="shared" si="125"/>
        <v>19.2</v>
      </c>
      <c r="CH60" s="163"/>
      <c r="CI60" s="163"/>
      <c r="CJ60" s="166"/>
      <c r="CK60" s="166"/>
      <c r="CL60" s="166"/>
      <c r="CM60" s="193"/>
      <c r="CN60" s="261"/>
      <c r="CO60" s="193"/>
      <c r="CP60" s="193">
        <f t="shared" si="126"/>
        <v>19.2</v>
      </c>
      <c r="CQ60" s="262">
        <v>1</v>
      </c>
      <c r="CR60" s="262">
        <v>1</v>
      </c>
      <c r="CS60" s="271">
        <v>1</v>
      </c>
      <c r="CT60" s="176">
        <v>61</v>
      </c>
      <c r="CU60" s="166">
        <f t="shared" si="92"/>
        <v>0.0203376030241496</v>
      </c>
      <c r="CV60" s="166">
        <f t="shared" si="93"/>
        <v>0.0203376030241496</v>
      </c>
      <c r="CW60" s="164">
        <f t="shared" si="127"/>
        <v>0.0221</v>
      </c>
      <c r="CX60" s="272">
        <f t="shared" si="94"/>
        <v>16.78</v>
      </c>
      <c r="CY60" s="273"/>
      <c r="CZ60" s="274"/>
      <c r="DA60" s="272"/>
      <c r="DB60" s="294"/>
      <c r="DC60" s="225"/>
      <c r="DD60" s="288">
        <f t="shared" si="128"/>
        <v>124.18</v>
      </c>
    </row>
    <row r="61" s="114" customFormat="1" ht="10" customHeight="1" spans="1:108">
      <c r="A61" s="161" t="s">
        <v>134</v>
      </c>
      <c r="B61" s="170">
        <v>1</v>
      </c>
      <c r="C61" s="163">
        <v>186928</v>
      </c>
      <c r="D61" s="164">
        <f t="shared" si="95"/>
        <v>0.0061</v>
      </c>
      <c r="E61" s="165">
        <f t="shared" si="96"/>
        <v>0.0061</v>
      </c>
      <c r="F61" s="166">
        <f t="shared" si="97"/>
        <v>0.00764267368289169</v>
      </c>
      <c r="G61" s="167">
        <f t="shared" si="98"/>
        <v>1.57</v>
      </c>
      <c r="H61" s="176">
        <v>147</v>
      </c>
      <c r="I61" s="190">
        <v>11281</v>
      </c>
      <c r="J61" s="191">
        <f t="shared" si="99"/>
        <v>0.0057</v>
      </c>
      <c r="K61" s="166">
        <f t="shared" si="100"/>
        <v>0.0057</v>
      </c>
      <c r="L61" s="192">
        <f t="shared" si="101"/>
        <v>0.0074</v>
      </c>
      <c r="M61" s="193">
        <f t="shared" si="102"/>
        <v>20.27</v>
      </c>
      <c r="N61" s="163"/>
      <c r="O61" s="163"/>
      <c r="P61" s="163"/>
      <c r="Q61" s="163">
        <v>145</v>
      </c>
      <c r="R61" s="166">
        <f t="shared" si="84"/>
        <v>0.0021</v>
      </c>
      <c r="S61" s="166">
        <f t="shared" si="103"/>
        <v>0.0021</v>
      </c>
      <c r="T61" s="166">
        <f t="shared" si="85"/>
        <v>0.00223048327137547</v>
      </c>
      <c r="U61" s="193">
        <f t="shared" si="86"/>
        <v>1.56</v>
      </c>
      <c r="V61" s="193"/>
      <c r="W61" s="193">
        <f t="shared" si="104"/>
        <v>1.56</v>
      </c>
      <c r="X61" s="168">
        <v>0</v>
      </c>
      <c r="Y61" s="206">
        <v>0</v>
      </c>
      <c r="Z61" s="206">
        <v>1</v>
      </c>
      <c r="AA61" s="206"/>
      <c r="AB61" s="191">
        <f t="shared" si="87"/>
        <v>0.0001</v>
      </c>
      <c r="AC61" s="204">
        <f t="shared" si="88"/>
        <v>0.0001</v>
      </c>
      <c r="AD61" s="166">
        <f t="shared" si="89"/>
        <v>0.0001</v>
      </c>
      <c r="AE61" s="193">
        <f t="shared" si="90"/>
        <v>0.13</v>
      </c>
      <c r="AF61" s="208"/>
      <c r="AG61" s="208"/>
      <c r="AH61" s="214">
        <v>1</v>
      </c>
      <c r="AI61" s="217"/>
      <c r="AJ61" s="217"/>
      <c r="AK61" s="217"/>
      <c r="AL61" s="165">
        <f t="shared" si="105"/>
        <v>0.000490918016691213</v>
      </c>
      <c r="AM61" s="165">
        <f t="shared" si="106"/>
        <v>0.000490918016691213</v>
      </c>
      <c r="AN61" s="165">
        <f t="shared" si="107"/>
        <v>0.0006</v>
      </c>
      <c r="AO61" s="225">
        <f t="shared" si="91"/>
        <v>0.12</v>
      </c>
      <c r="AP61" s="217"/>
      <c r="AQ61" s="217"/>
      <c r="AR61" s="225">
        <f t="shared" si="108"/>
        <v>0</v>
      </c>
      <c r="AS61" s="167">
        <f t="shared" si="109"/>
        <v>0.12</v>
      </c>
      <c r="AT61" s="176">
        <v>1</v>
      </c>
      <c r="AU61" s="176"/>
      <c r="AV61" s="176"/>
      <c r="AW61" s="176"/>
      <c r="AX61" s="176"/>
      <c r="AY61" s="176"/>
      <c r="AZ61" s="176"/>
      <c r="BA61" s="176"/>
      <c r="BB61" s="176"/>
      <c r="BC61" s="176"/>
      <c r="BD61" s="228">
        <f t="shared" si="110"/>
        <v>0.0067</v>
      </c>
      <c r="BE61" s="164">
        <f t="shared" si="111"/>
        <v>0.0067</v>
      </c>
      <c r="BF61" s="164">
        <f t="shared" si="112"/>
        <v>0.0071</v>
      </c>
      <c r="BG61" s="167">
        <f t="shared" si="113"/>
        <v>1.34</v>
      </c>
      <c r="BH61" s="237"/>
      <c r="BI61" s="233">
        <v>427</v>
      </c>
      <c r="BJ61" s="164">
        <f t="shared" si="114"/>
        <v>0.00149586797125972</v>
      </c>
      <c r="BK61" s="164">
        <f t="shared" si="115"/>
        <v>0.00149586797125972</v>
      </c>
      <c r="BL61" s="164">
        <f t="shared" si="116"/>
        <v>0.00155029190508002</v>
      </c>
      <c r="BM61" s="167">
        <f t="shared" si="117"/>
        <v>0.3</v>
      </c>
      <c r="BN61" s="248">
        <v>4748</v>
      </c>
      <c r="BO61" s="248">
        <v>68</v>
      </c>
      <c r="BP61" s="248">
        <v>34</v>
      </c>
      <c r="BQ61" s="248"/>
      <c r="BR61" s="248"/>
      <c r="BS61" s="248"/>
      <c r="BT61" s="164">
        <f t="shared" si="118"/>
        <v>0.00565042926609845</v>
      </c>
      <c r="BU61" s="164">
        <f t="shared" si="119"/>
        <v>0.00565042926609845</v>
      </c>
      <c r="BV61" s="164">
        <f t="shared" si="120"/>
        <v>0.0057</v>
      </c>
      <c r="BW61" s="167">
        <f t="shared" si="121"/>
        <v>7.46</v>
      </c>
      <c r="BX61" s="217">
        <v>1</v>
      </c>
      <c r="BY61" s="217"/>
      <c r="BZ61" s="217">
        <v>1</v>
      </c>
      <c r="CA61" s="217"/>
      <c r="CB61" s="217"/>
      <c r="CC61" s="217"/>
      <c r="CD61" s="208">
        <f t="shared" si="122"/>
        <v>0.0276</v>
      </c>
      <c r="CE61" s="215">
        <f t="shared" si="123"/>
        <v>0.0276</v>
      </c>
      <c r="CF61" s="165">
        <f t="shared" si="124"/>
        <v>0.0279</v>
      </c>
      <c r="CG61" s="167">
        <f t="shared" si="125"/>
        <v>16.18</v>
      </c>
      <c r="CH61" s="163"/>
      <c r="CI61" s="163"/>
      <c r="CJ61" s="166"/>
      <c r="CK61" s="166"/>
      <c r="CL61" s="166"/>
      <c r="CM61" s="193"/>
      <c r="CN61" s="261"/>
      <c r="CO61" s="193"/>
      <c r="CP61" s="193">
        <f t="shared" si="126"/>
        <v>16.18</v>
      </c>
      <c r="CQ61" s="262">
        <v>1</v>
      </c>
      <c r="CR61" s="262"/>
      <c r="CS61" s="271">
        <v>1</v>
      </c>
      <c r="CT61" s="176">
        <v>53</v>
      </c>
      <c r="CU61" s="166">
        <f t="shared" si="92"/>
        <v>0.0108041680426641</v>
      </c>
      <c r="CV61" s="166">
        <f t="shared" si="93"/>
        <v>0.0108041680426641</v>
      </c>
      <c r="CW61" s="164">
        <f t="shared" si="127"/>
        <v>0.0117</v>
      </c>
      <c r="CX61" s="272">
        <f t="shared" si="94"/>
        <v>8.88</v>
      </c>
      <c r="CY61" s="273"/>
      <c r="CZ61" s="274"/>
      <c r="DA61" s="272"/>
      <c r="DB61" s="294"/>
      <c r="DC61" s="225"/>
      <c r="DD61" s="288">
        <f t="shared" si="128"/>
        <v>57.81</v>
      </c>
    </row>
    <row r="62" s="114" customFormat="1" ht="10" customHeight="1" spans="1:108">
      <c r="A62" s="161" t="s">
        <v>135</v>
      </c>
      <c r="B62" s="170">
        <v>1</v>
      </c>
      <c r="C62" s="163">
        <v>380926</v>
      </c>
      <c r="D62" s="164">
        <f t="shared" si="95"/>
        <v>0.0124</v>
      </c>
      <c r="E62" s="165">
        <f t="shared" si="96"/>
        <v>0.0124</v>
      </c>
      <c r="F62" s="166">
        <f t="shared" si="97"/>
        <v>0.0155359268307962</v>
      </c>
      <c r="G62" s="167">
        <f t="shared" si="98"/>
        <v>3.18</v>
      </c>
      <c r="H62" s="176">
        <v>192</v>
      </c>
      <c r="I62" s="190">
        <v>11131</v>
      </c>
      <c r="J62" s="191">
        <f t="shared" si="99"/>
        <v>0.0061</v>
      </c>
      <c r="K62" s="166">
        <f t="shared" si="100"/>
        <v>0.0061</v>
      </c>
      <c r="L62" s="192">
        <f t="shared" si="101"/>
        <v>0.0079</v>
      </c>
      <c r="M62" s="193">
        <f t="shared" si="102"/>
        <v>21.64</v>
      </c>
      <c r="N62" s="163"/>
      <c r="O62" s="163"/>
      <c r="P62" s="163"/>
      <c r="Q62" s="163">
        <v>257</v>
      </c>
      <c r="R62" s="166">
        <f t="shared" si="84"/>
        <v>0.0036</v>
      </c>
      <c r="S62" s="166">
        <f t="shared" si="103"/>
        <v>0.0036</v>
      </c>
      <c r="T62" s="166">
        <f t="shared" si="85"/>
        <v>0.00382368560807223</v>
      </c>
      <c r="U62" s="193">
        <f t="shared" si="86"/>
        <v>2.68</v>
      </c>
      <c r="V62" s="193"/>
      <c r="W62" s="193">
        <f t="shared" si="104"/>
        <v>2.68</v>
      </c>
      <c r="X62" s="168">
        <v>600</v>
      </c>
      <c r="Y62" s="206">
        <v>300</v>
      </c>
      <c r="Z62" s="206">
        <v>1</v>
      </c>
      <c r="AA62" s="206"/>
      <c r="AB62" s="191">
        <f t="shared" si="87"/>
        <v>0.0034</v>
      </c>
      <c r="AC62" s="204">
        <f t="shared" si="88"/>
        <v>0.0034</v>
      </c>
      <c r="AD62" s="166">
        <f t="shared" si="89"/>
        <v>0.0042</v>
      </c>
      <c r="AE62" s="193">
        <f t="shared" si="90"/>
        <v>5.58</v>
      </c>
      <c r="AF62" s="208"/>
      <c r="AG62" s="208"/>
      <c r="AH62" s="214">
        <v>1</v>
      </c>
      <c r="AI62" s="217"/>
      <c r="AJ62" s="217"/>
      <c r="AK62" s="217"/>
      <c r="AL62" s="165">
        <f t="shared" si="105"/>
        <v>0.000490918016691213</v>
      </c>
      <c r="AM62" s="165">
        <f t="shared" si="106"/>
        <v>0.000490918016691213</v>
      </c>
      <c r="AN62" s="165">
        <f t="shared" si="107"/>
        <v>0.0006</v>
      </c>
      <c r="AO62" s="225">
        <f t="shared" si="91"/>
        <v>0.12</v>
      </c>
      <c r="AP62" s="217"/>
      <c r="AQ62" s="217"/>
      <c r="AR62" s="225">
        <f t="shared" si="108"/>
        <v>0</v>
      </c>
      <c r="AS62" s="167">
        <f t="shared" si="109"/>
        <v>0.12</v>
      </c>
      <c r="AT62" s="176">
        <v>1</v>
      </c>
      <c r="AU62" s="176"/>
      <c r="AV62" s="176"/>
      <c r="AW62" s="176"/>
      <c r="AX62" s="176"/>
      <c r="AY62" s="176"/>
      <c r="AZ62" s="176"/>
      <c r="BA62" s="176"/>
      <c r="BB62" s="176"/>
      <c r="BC62" s="176"/>
      <c r="BD62" s="228">
        <f t="shared" si="110"/>
        <v>0.0067</v>
      </c>
      <c r="BE62" s="164">
        <f t="shared" si="111"/>
        <v>0.0067</v>
      </c>
      <c r="BF62" s="164">
        <f t="shared" si="112"/>
        <v>0.0071</v>
      </c>
      <c r="BG62" s="167">
        <f t="shared" si="113"/>
        <v>1.34</v>
      </c>
      <c r="BH62" s="232">
        <v>41</v>
      </c>
      <c r="BI62" s="233">
        <v>567</v>
      </c>
      <c r="BJ62" s="164">
        <f t="shared" si="114"/>
        <v>0.0411976752740381</v>
      </c>
      <c r="BK62" s="164">
        <f t="shared" si="115"/>
        <v>0.0411976752740381</v>
      </c>
      <c r="BL62" s="164">
        <f t="shared" si="116"/>
        <v>0.0426965639431874</v>
      </c>
      <c r="BM62" s="167">
        <f t="shared" si="117"/>
        <v>8.27</v>
      </c>
      <c r="BN62" s="248">
        <v>5139</v>
      </c>
      <c r="BO62" s="248">
        <v>64</v>
      </c>
      <c r="BP62" s="248">
        <v>32</v>
      </c>
      <c r="BQ62" s="248"/>
      <c r="BR62" s="248"/>
      <c r="BS62" s="248"/>
      <c r="BT62" s="164">
        <f t="shared" si="118"/>
        <v>0.00578071365973585</v>
      </c>
      <c r="BU62" s="164">
        <f t="shared" si="119"/>
        <v>0.00578071365973585</v>
      </c>
      <c r="BV62" s="164">
        <f t="shared" si="120"/>
        <v>0.0059</v>
      </c>
      <c r="BW62" s="167">
        <f t="shared" si="121"/>
        <v>7.73</v>
      </c>
      <c r="BX62" s="217"/>
      <c r="BY62" s="217"/>
      <c r="BZ62" s="217">
        <v>1</v>
      </c>
      <c r="CA62" s="217"/>
      <c r="CB62" s="217"/>
      <c r="CC62" s="217"/>
      <c r="CD62" s="208">
        <f t="shared" si="122"/>
        <v>0.0017</v>
      </c>
      <c r="CE62" s="215">
        <f t="shared" si="123"/>
        <v>0.0017</v>
      </c>
      <c r="CF62" s="165">
        <f t="shared" si="124"/>
        <v>0.0017</v>
      </c>
      <c r="CG62" s="167">
        <f t="shared" si="125"/>
        <v>0.99</v>
      </c>
      <c r="CH62" s="163"/>
      <c r="CI62" s="163"/>
      <c r="CJ62" s="166"/>
      <c r="CK62" s="166"/>
      <c r="CL62" s="166"/>
      <c r="CM62" s="193"/>
      <c r="CN62" s="261"/>
      <c r="CO62" s="193"/>
      <c r="CP62" s="193">
        <f t="shared" si="126"/>
        <v>0.99</v>
      </c>
      <c r="CQ62" s="262">
        <v>1</v>
      </c>
      <c r="CR62" s="262"/>
      <c r="CS62" s="271">
        <v>1</v>
      </c>
      <c r="CT62" s="176">
        <v>45</v>
      </c>
      <c r="CU62" s="166">
        <f t="shared" si="92"/>
        <v>0.0092707330611786</v>
      </c>
      <c r="CV62" s="166">
        <f t="shared" si="93"/>
        <v>0.0092707330611786</v>
      </c>
      <c r="CW62" s="164">
        <f t="shared" si="127"/>
        <v>0.0101</v>
      </c>
      <c r="CX62" s="272">
        <f t="shared" si="94"/>
        <v>7.67</v>
      </c>
      <c r="CY62" s="273"/>
      <c r="CZ62" s="274"/>
      <c r="DA62" s="272"/>
      <c r="DB62" s="294"/>
      <c r="DC62" s="225"/>
      <c r="DD62" s="288">
        <f t="shared" si="128"/>
        <v>59.2</v>
      </c>
    </row>
    <row r="63" s="114" customFormat="1" ht="10" customHeight="1" spans="1:108">
      <c r="A63" s="161" t="s">
        <v>136</v>
      </c>
      <c r="B63" s="170">
        <v>1</v>
      </c>
      <c r="C63" s="163">
        <v>297910</v>
      </c>
      <c r="D63" s="164">
        <f t="shared" si="95"/>
        <v>0.0097</v>
      </c>
      <c r="E63" s="165">
        <f t="shared" si="96"/>
        <v>0.0097</v>
      </c>
      <c r="F63" s="166">
        <f t="shared" si="97"/>
        <v>0.0121531040531228</v>
      </c>
      <c r="G63" s="167">
        <f t="shared" si="98"/>
        <v>2.49</v>
      </c>
      <c r="H63" s="176">
        <v>1137</v>
      </c>
      <c r="I63" s="190">
        <v>13331</v>
      </c>
      <c r="J63" s="191">
        <f t="shared" si="99"/>
        <v>0.0168</v>
      </c>
      <c r="K63" s="166">
        <f t="shared" si="100"/>
        <v>0.0168</v>
      </c>
      <c r="L63" s="192">
        <f t="shared" si="101"/>
        <v>0.0218</v>
      </c>
      <c r="M63" s="193">
        <f t="shared" si="102"/>
        <v>59.71</v>
      </c>
      <c r="N63" s="163"/>
      <c r="O63" s="163"/>
      <c r="P63" s="163"/>
      <c r="Q63" s="163">
        <v>170</v>
      </c>
      <c r="R63" s="166">
        <f t="shared" si="84"/>
        <v>0.0024</v>
      </c>
      <c r="S63" s="166">
        <f t="shared" si="103"/>
        <v>0.0024</v>
      </c>
      <c r="T63" s="166">
        <f t="shared" si="85"/>
        <v>0.00254912373871482</v>
      </c>
      <c r="U63" s="193">
        <f t="shared" si="86"/>
        <v>1.79</v>
      </c>
      <c r="V63" s="193"/>
      <c r="W63" s="193">
        <f t="shared" si="104"/>
        <v>1.79</v>
      </c>
      <c r="X63" s="168">
        <v>0</v>
      </c>
      <c r="Y63" s="206">
        <v>0</v>
      </c>
      <c r="Z63" s="206">
        <v>1</v>
      </c>
      <c r="AA63" s="206"/>
      <c r="AB63" s="191">
        <f t="shared" si="87"/>
        <v>0.0001</v>
      </c>
      <c r="AC63" s="204">
        <f t="shared" si="88"/>
        <v>0.0001</v>
      </c>
      <c r="AD63" s="166">
        <f t="shared" si="89"/>
        <v>0.0001</v>
      </c>
      <c r="AE63" s="193">
        <f t="shared" si="90"/>
        <v>0.13</v>
      </c>
      <c r="AF63" s="208"/>
      <c r="AG63" s="208"/>
      <c r="AH63" s="214">
        <v>1</v>
      </c>
      <c r="AI63" s="217"/>
      <c r="AJ63" s="217"/>
      <c r="AK63" s="217"/>
      <c r="AL63" s="165">
        <f t="shared" si="105"/>
        <v>0.000490918016691213</v>
      </c>
      <c r="AM63" s="165">
        <f t="shared" si="106"/>
        <v>0.000490918016691213</v>
      </c>
      <c r="AN63" s="165">
        <f t="shared" si="107"/>
        <v>0.0006</v>
      </c>
      <c r="AO63" s="225">
        <f t="shared" si="91"/>
        <v>0.12</v>
      </c>
      <c r="AP63" s="217"/>
      <c r="AQ63" s="217"/>
      <c r="AR63" s="225">
        <f t="shared" si="108"/>
        <v>0</v>
      </c>
      <c r="AS63" s="167">
        <f t="shared" si="109"/>
        <v>0.12</v>
      </c>
      <c r="AT63" s="176">
        <v>1</v>
      </c>
      <c r="AU63" s="176"/>
      <c r="AV63" s="176"/>
      <c r="AW63" s="176"/>
      <c r="AX63" s="176"/>
      <c r="AY63" s="176">
        <v>1</v>
      </c>
      <c r="AZ63" s="176"/>
      <c r="BA63" s="176"/>
      <c r="BB63" s="176"/>
      <c r="BC63" s="176"/>
      <c r="BD63" s="228">
        <f t="shared" si="110"/>
        <v>0.0083</v>
      </c>
      <c r="BE63" s="164">
        <f t="shared" si="111"/>
        <v>0.0083</v>
      </c>
      <c r="BF63" s="164">
        <f t="shared" si="112"/>
        <v>0.0088</v>
      </c>
      <c r="BG63" s="167">
        <f t="shared" si="113"/>
        <v>1.66</v>
      </c>
      <c r="BH63" s="239">
        <v>5</v>
      </c>
      <c r="BI63" s="233">
        <v>507</v>
      </c>
      <c r="BJ63" s="164">
        <f t="shared" si="114"/>
        <v>0.00655799728852035</v>
      </c>
      <c r="BK63" s="164">
        <f t="shared" si="115"/>
        <v>0.00655799728852035</v>
      </c>
      <c r="BL63" s="164">
        <f t="shared" si="116"/>
        <v>0.00679659589299718</v>
      </c>
      <c r="BM63" s="167">
        <f t="shared" si="117"/>
        <v>1.32</v>
      </c>
      <c r="BN63" s="248">
        <v>8586</v>
      </c>
      <c r="BO63" s="248">
        <v>84</v>
      </c>
      <c r="BP63" s="248">
        <v>42</v>
      </c>
      <c r="BQ63" s="248"/>
      <c r="BR63" s="248">
        <v>1</v>
      </c>
      <c r="BS63" s="248"/>
      <c r="BT63" s="164">
        <f t="shared" si="118"/>
        <v>0.0243689284246283</v>
      </c>
      <c r="BU63" s="164">
        <f t="shared" si="119"/>
        <v>0.0243689284246283</v>
      </c>
      <c r="BV63" s="164">
        <f t="shared" si="120"/>
        <v>0.0248</v>
      </c>
      <c r="BW63" s="167">
        <f t="shared" si="121"/>
        <v>32.48</v>
      </c>
      <c r="BX63" s="217"/>
      <c r="BY63" s="217"/>
      <c r="BZ63" s="217">
        <v>1</v>
      </c>
      <c r="CA63" s="217"/>
      <c r="CB63" s="217"/>
      <c r="CC63" s="217"/>
      <c r="CD63" s="208">
        <f t="shared" si="122"/>
        <v>0.0017</v>
      </c>
      <c r="CE63" s="215">
        <f t="shared" si="123"/>
        <v>0.0017</v>
      </c>
      <c r="CF63" s="165">
        <f t="shared" si="124"/>
        <v>0.0017</v>
      </c>
      <c r="CG63" s="167">
        <f t="shared" si="125"/>
        <v>0.99</v>
      </c>
      <c r="CH63" s="163"/>
      <c r="CI63" s="163"/>
      <c r="CJ63" s="166"/>
      <c r="CK63" s="166"/>
      <c r="CL63" s="166"/>
      <c r="CM63" s="193"/>
      <c r="CN63" s="261"/>
      <c r="CO63" s="193"/>
      <c r="CP63" s="193">
        <f t="shared" si="126"/>
        <v>0.99</v>
      </c>
      <c r="CQ63" s="262">
        <v>1</v>
      </c>
      <c r="CR63" s="262"/>
      <c r="CS63" s="271">
        <v>1</v>
      </c>
      <c r="CT63" s="176">
        <v>55</v>
      </c>
      <c r="CU63" s="166">
        <f t="shared" si="92"/>
        <v>0.0111875267880355</v>
      </c>
      <c r="CV63" s="166">
        <f t="shared" si="93"/>
        <v>0.0111875267880355</v>
      </c>
      <c r="CW63" s="164">
        <f t="shared" si="127"/>
        <v>0.0122</v>
      </c>
      <c r="CX63" s="272">
        <f t="shared" si="94"/>
        <v>9.26</v>
      </c>
      <c r="CY63" s="273"/>
      <c r="CZ63" s="274"/>
      <c r="DA63" s="272"/>
      <c r="DB63" s="294"/>
      <c r="DC63" s="272">
        <v>3</v>
      </c>
      <c r="DD63" s="288">
        <f t="shared" si="128"/>
        <v>112.95</v>
      </c>
    </row>
    <row r="64" s="114" customFormat="1" ht="10" customHeight="1" spans="1:108">
      <c r="A64" s="161" t="s">
        <v>137</v>
      </c>
      <c r="B64" s="170">
        <v>1</v>
      </c>
      <c r="C64" s="163">
        <v>128886</v>
      </c>
      <c r="D64" s="164">
        <f t="shared" si="95"/>
        <v>0.0042</v>
      </c>
      <c r="E64" s="165">
        <f t="shared" si="96"/>
        <v>0.0042</v>
      </c>
      <c r="F64" s="166">
        <f t="shared" si="97"/>
        <v>0.00526216876526969</v>
      </c>
      <c r="G64" s="167">
        <f t="shared" si="98"/>
        <v>1.08</v>
      </c>
      <c r="H64" s="176">
        <v>88</v>
      </c>
      <c r="I64" s="190">
        <v>7108</v>
      </c>
      <c r="J64" s="191">
        <f t="shared" si="99"/>
        <v>0.0036</v>
      </c>
      <c r="K64" s="166">
        <f t="shared" si="100"/>
        <v>0.0036</v>
      </c>
      <c r="L64" s="192">
        <f t="shared" si="101"/>
        <v>0.0047</v>
      </c>
      <c r="M64" s="193">
        <f t="shared" si="102"/>
        <v>12.87</v>
      </c>
      <c r="N64" s="163"/>
      <c r="O64" s="163"/>
      <c r="P64" s="163"/>
      <c r="Q64" s="163">
        <v>70</v>
      </c>
      <c r="R64" s="166">
        <f t="shared" si="84"/>
        <v>0.001</v>
      </c>
      <c r="S64" s="166">
        <f t="shared" si="103"/>
        <v>0.001</v>
      </c>
      <c r="T64" s="166">
        <f t="shared" si="85"/>
        <v>0.00106213489113117</v>
      </c>
      <c r="U64" s="193">
        <f t="shared" si="86"/>
        <v>0.74</v>
      </c>
      <c r="V64" s="193"/>
      <c r="W64" s="193">
        <f t="shared" si="104"/>
        <v>0.74</v>
      </c>
      <c r="X64" s="168">
        <v>260</v>
      </c>
      <c r="Y64" s="206">
        <v>0</v>
      </c>
      <c r="Z64" s="206">
        <v>1</v>
      </c>
      <c r="AA64" s="206"/>
      <c r="AB64" s="191">
        <f t="shared" si="87"/>
        <v>0.0008</v>
      </c>
      <c r="AC64" s="204">
        <f t="shared" si="88"/>
        <v>0.0008</v>
      </c>
      <c r="AD64" s="166">
        <f t="shared" si="89"/>
        <v>0.001</v>
      </c>
      <c r="AE64" s="193">
        <f t="shared" si="90"/>
        <v>1.33</v>
      </c>
      <c r="AF64" s="208"/>
      <c r="AG64" s="208"/>
      <c r="AH64" s="214">
        <v>1</v>
      </c>
      <c r="AI64" s="217"/>
      <c r="AJ64" s="217"/>
      <c r="AK64" s="217"/>
      <c r="AL64" s="165">
        <f t="shared" si="105"/>
        <v>0.000490918016691213</v>
      </c>
      <c r="AM64" s="165">
        <f t="shared" si="106"/>
        <v>0.000490918016691213</v>
      </c>
      <c r="AN64" s="165">
        <f t="shared" si="107"/>
        <v>0.0006</v>
      </c>
      <c r="AO64" s="225">
        <f t="shared" si="91"/>
        <v>0.12</v>
      </c>
      <c r="AP64" s="217"/>
      <c r="AQ64" s="217"/>
      <c r="AR64" s="225">
        <f t="shared" si="108"/>
        <v>0</v>
      </c>
      <c r="AS64" s="167">
        <f t="shared" si="109"/>
        <v>0.12</v>
      </c>
      <c r="AT64" s="176">
        <v>1</v>
      </c>
      <c r="AU64" s="176"/>
      <c r="AV64" s="176"/>
      <c r="AW64" s="176"/>
      <c r="AX64" s="176"/>
      <c r="AY64" s="176"/>
      <c r="AZ64" s="176"/>
      <c r="BA64" s="176"/>
      <c r="BB64" s="176"/>
      <c r="BC64" s="176"/>
      <c r="BD64" s="228">
        <f t="shared" si="110"/>
        <v>0.0067</v>
      </c>
      <c r="BE64" s="164">
        <f t="shared" si="111"/>
        <v>0.0067</v>
      </c>
      <c r="BF64" s="164">
        <f t="shared" si="112"/>
        <v>0.0071</v>
      </c>
      <c r="BG64" s="167">
        <f t="shared" si="113"/>
        <v>1.34</v>
      </c>
      <c r="BH64" s="237"/>
      <c r="BI64" s="233">
        <v>227</v>
      </c>
      <c r="BJ64" s="164">
        <f t="shared" si="114"/>
        <v>0.000795227235306688</v>
      </c>
      <c r="BK64" s="164">
        <f t="shared" si="115"/>
        <v>0.000795227235306688</v>
      </c>
      <c r="BL64" s="164">
        <f t="shared" si="116"/>
        <v>0.000824159865229893</v>
      </c>
      <c r="BM64" s="167">
        <f t="shared" si="117"/>
        <v>0.16</v>
      </c>
      <c r="BN64" s="248">
        <v>2741</v>
      </c>
      <c r="BO64" s="248">
        <v>48</v>
      </c>
      <c r="BP64" s="248">
        <v>24</v>
      </c>
      <c r="BQ64" s="248"/>
      <c r="BR64" s="248"/>
      <c r="BS64" s="248"/>
      <c r="BT64" s="164">
        <f t="shared" si="118"/>
        <v>0.0035671276009958</v>
      </c>
      <c r="BU64" s="164">
        <f t="shared" si="119"/>
        <v>0.0035671276009958</v>
      </c>
      <c r="BV64" s="164">
        <f t="shared" si="120"/>
        <v>0.0036</v>
      </c>
      <c r="BW64" s="167">
        <f t="shared" si="121"/>
        <v>4.71</v>
      </c>
      <c r="BX64" s="217"/>
      <c r="BY64" s="217">
        <v>1</v>
      </c>
      <c r="BZ64" s="217">
        <v>1</v>
      </c>
      <c r="CA64" s="217"/>
      <c r="CB64" s="217"/>
      <c r="CC64" s="217"/>
      <c r="CD64" s="208">
        <f t="shared" si="122"/>
        <v>0.0069</v>
      </c>
      <c r="CE64" s="215">
        <f t="shared" si="123"/>
        <v>0.0069</v>
      </c>
      <c r="CF64" s="165">
        <f t="shared" si="124"/>
        <v>0.007</v>
      </c>
      <c r="CG64" s="167">
        <f t="shared" si="125"/>
        <v>4.06</v>
      </c>
      <c r="CH64" s="167"/>
      <c r="CI64" s="167"/>
      <c r="CJ64" s="166"/>
      <c r="CK64" s="166"/>
      <c r="CL64" s="166"/>
      <c r="CM64" s="193"/>
      <c r="CN64" s="261"/>
      <c r="CO64" s="193"/>
      <c r="CP64" s="193">
        <f t="shared" si="126"/>
        <v>4.06</v>
      </c>
      <c r="CQ64" s="262">
        <v>1</v>
      </c>
      <c r="CR64" s="262"/>
      <c r="CS64" s="271">
        <v>1</v>
      </c>
      <c r="CT64" s="176">
        <v>55</v>
      </c>
      <c r="CU64" s="166">
        <f t="shared" si="92"/>
        <v>0.0111875267880355</v>
      </c>
      <c r="CV64" s="166">
        <f t="shared" si="93"/>
        <v>0.0111875267880355</v>
      </c>
      <c r="CW64" s="164">
        <f t="shared" si="127"/>
        <v>0.0122</v>
      </c>
      <c r="CX64" s="272">
        <f t="shared" si="94"/>
        <v>9.26</v>
      </c>
      <c r="CY64" s="273"/>
      <c r="CZ64" s="274"/>
      <c r="DA64" s="272"/>
      <c r="DB64" s="294"/>
      <c r="DC64" s="225"/>
      <c r="DD64" s="288">
        <f t="shared" si="128"/>
        <v>35.67</v>
      </c>
    </row>
    <row r="65" ht="13.5" spans="1:56">
      <c r="A65" s="295"/>
      <c r="H65" s="117"/>
      <c r="I65" s="117"/>
      <c r="J65" s="117"/>
      <c r="K65" s="117"/>
      <c r="L65" s="117"/>
      <c r="M65" s="117"/>
      <c r="BD65" s="296"/>
    </row>
  </sheetData>
  <mergeCells count="18">
    <mergeCell ref="A2:M2"/>
    <mergeCell ref="C4:G4"/>
    <mergeCell ref="H4:M4"/>
    <mergeCell ref="N4:W4"/>
    <mergeCell ref="X4:AE4"/>
    <mergeCell ref="AF4:AS4"/>
    <mergeCell ref="AT4:BG4"/>
    <mergeCell ref="BH4:BM4"/>
    <mergeCell ref="BN4:BW4"/>
    <mergeCell ref="BX4:CG4"/>
    <mergeCell ref="CH4:CM4"/>
    <mergeCell ref="CN4:CO4"/>
    <mergeCell ref="CQ4:CX4"/>
    <mergeCell ref="CY4:DA4"/>
    <mergeCell ref="A4:A5"/>
    <mergeCell ref="B4:B5"/>
    <mergeCell ref="CP4:CP5"/>
    <mergeCell ref="DD4:DD5"/>
  </mergeCells>
  <printOptions horizontalCentered="1"/>
  <pageMargins left="0.472222222222222" right="0.472222222222222" top="0.590277777777778" bottom="0.786805555555556" header="0.5" footer="0.432638888888889"/>
  <pageSetup paperSize="9" scale="64" fitToWidth="0" orientation="landscape" horizontalDpi="600"/>
  <headerFooter/>
  <colBreaks count="7" manualBreakCount="7">
    <brk id="13" max="1048575" man="1"/>
    <brk id="31" max="1048575" man="1"/>
    <brk id="45" max="1048575" man="1"/>
    <brk id="59" max="1048575" man="1"/>
    <brk id="75" max="1048575" man="1"/>
    <brk id="85" max="1048575" man="1"/>
    <brk id="102"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L59"/>
  <sheetViews>
    <sheetView topLeftCell="U5" workbookViewId="0">
      <selection activeCell="AD8" sqref="AD8"/>
    </sheetView>
  </sheetViews>
  <sheetFormatPr defaultColWidth="20.5583333333333" defaultRowHeight="14.25"/>
  <cols>
    <col min="1" max="1" width="10.1083333333333" customWidth="1"/>
    <col min="2" max="3" width="10.8916666666667" customWidth="1"/>
    <col min="4" max="4" width="10.8916666666667" style="36" customWidth="1"/>
    <col min="5" max="5" width="9.025" style="37" customWidth="1"/>
    <col min="6" max="6" width="10.5583333333333" style="38" customWidth="1"/>
    <col min="7" max="7" width="9.58333333333333" style="37" customWidth="1"/>
    <col min="8" max="8" width="9.33333333333333" style="39" customWidth="1"/>
    <col min="9" max="9" width="10" style="37" customWidth="1"/>
    <col min="10" max="10" width="9.44166666666667" style="39" customWidth="1"/>
    <col min="11" max="11" width="10.6666666666667" style="40" customWidth="1"/>
    <col min="12" max="12" width="10.1416666666667" style="41" customWidth="1"/>
    <col min="13" max="13" width="9.58333333333333" style="42" customWidth="1"/>
    <col min="14" max="14" width="12.5" style="39" customWidth="1"/>
    <col min="15" max="15" width="9.58333333333333" style="37" customWidth="1"/>
    <col min="16" max="16" width="9.58333333333333" style="39" customWidth="1"/>
    <col min="17" max="17" width="9.58333333333333" style="37" customWidth="1"/>
    <col min="18" max="18" width="11" customWidth="1"/>
    <col min="19" max="19" width="11.5583333333333" customWidth="1"/>
    <col min="20" max="20" width="10.6666666666667" style="39" customWidth="1"/>
    <col min="21" max="21" width="9.58333333333333" style="37" customWidth="1"/>
    <col min="22" max="22" width="16.6666666666667" style="37" customWidth="1"/>
    <col min="23" max="23" width="15" style="36" customWidth="1"/>
    <col min="24" max="24" width="17.3333333333333" style="43" customWidth="1"/>
    <col min="25" max="25" width="5.775" style="43" customWidth="1"/>
    <col min="26" max="26" width="13.6666666666667" style="44" customWidth="1"/>
    <col min="27" max="27" width="12.8916666666667" style="44" customWidth="1"/>
    <col min="28" max="28" width="14" style="45" customWidth="1"/>
    <col min="29" max="29" width="14" style="44" customWidth="1"/>
    <col min="30" max="240" width="20.5583333333333" style="30" customWidth="1"/>
    <col min="241" max="16353" width="20.5583333333333" style="46"/>
  </cols>
  <sheetData>
    <row r="1" s="30" customFormat="1" ht="21" customHeight="1" spans="1:246">
      <c r="A1" s="47" t="s">
        <v>294</v>
      </c>
      <c r="B1" s="48"/>
      <c r="C1" s="48"/>
      <c r="D1" s="41"/>
      <c r="E1" s="42"/>
      <c r="F1" s="38"/>
      <c r="G1" s="37"/>
      <c r="H1" s="39"/>
      <c r="I1" s="37"/>
      <c r="J1" s="39"/>
      <c r="K1" s="40"/>
      <c r="N1" s="39"/>
      <c r="O1" s="37"/>
      <c r="P1" s="39"/>
      <c r="Q1" s="37"/>
      <c r="R1" s="48"/>
      <c r="S1" s="48"/>
      <c r="T1" s="39"/>
      <c r="U1" s="37"/>
      <c r="V1" s="37"/>
      <c r="W1" s="36"/>
      <c r="X1" s="43"/>
      <c r="Y1" s="43"/>
      <c r="Z1" s="44"/>
      <c r="AA1" s="44"/>
      <c r="AB1" s="44"/>
      <c r="AC1" s="44"/>
      <c r="IG1" s="46"/>
      <c r="IH1" s="46"/>
      <c r="II1" s="46"/>
      <c r="IJ1" s="46"/>
      <c r="IK1" s="46"/>
      <c r="IL1" s="46"/>
    </row>
    <row r="2" s="30" customFormat="1" ht="38" customHeight="1" spans="1:246">
      <c r="A2" s="49" t="s">
        <v>295</v>
      </c>
      <c r="B2" s="49"/>
      <c r="C2" s="49"/>
      <c r="D2" s="49"/>
      <c r="E2" s="49"/>
      <c r="F2" s="49"/>
      <c r="G2" s="49"/>
      <c r="H2" s="49"/>
      <c r="I2" s="49"/>
      <c r="J2" s="49"/>
      <c r="K2" s="49"/>
      <c r="L2" s="49"/>
      <c r="M2" s="49"/>
      <c r="N2" s="49"/>
      <c r="O2" s="49"/>
      <c r="P2" s="75"/>
      <c r="Q2" s="49"/>
      <c r="R2" s="49"/>
      <c r="S2" s="49"/>
      <c r="T2" s="49"/>
      <c r="U2" s="49"/>
      <c r="V2" s="49"/>
      <c r="W2" s="92"/>
      <c r="X2" s="49"/>
      <c r="Y2" s="100"/>
      <c r="Z2" s="44"/>
      <c r="AA2" s="44"/>
      <c r="AB2" s="44"/>
      <c r="AC2" s="44"/>
      <c r="IG2" s="46"/>
      <c r="IH2" s="46"/>
      <c r="II2" s="46"/>
      <c r="IJ2" s="46"/>
      <c r="IK2" s="46"/>
      <c r="IL2" s="46"/>
    </row>
    <row r="3" s="30" customFormat="1" ht="21" spans="4:246">
      <c r="D3" s="50"/>
      <c r="E3" s="51"/>
      <c r="F3" s="52"/>
      <c r="G3" s="51"/>
      <c r="H3" s="53"/>
      <c r="I3" s="51"/>
      <c r="J3" s="53"/>
      <c r="K3" s="76"/>
      <c r="L3" s="77"/>
      <c r="M3" s="78"/>
      <c r="N3" s="53"/>
      <c r="O3" s="51"/>
      <c r="P3" s="53"/>
      <c r="Q3" s="51"/>
      <c r="T3" s="53"/>
      <c r="U3" s="51"/>
      <c r="V3" s="51"/>
      <c r="W3" s="93"/>
      <c r="X3" s="76" t="s">
        <v>2</v>
      </c>
      <c r="Y3" s="76"/>
      <c r="Z3" s="44"/>
      <c r="AA3" s="44"/>
      <c r="AB3" s="44"/>
      <c r="AC3" s="44"/>
      <c r="IG3" s="46"/>
      <c r="IH3" s="46"/>
      <c r="II3" s="46"/>
      <c r="IJ3" s="46"/>
      <c r="IK3" s="46"/>
      <c r="IL3" s="46"/>
    </row>
    <row r="4" s="31" customFormat="1" ht="30" customHeight="1" spans="1:29">
      <c r="A4" s="54" t="s">
        <v>296</v>
      </c>
      <c r="B4" s="54" t="s">
        <v>297</v>
      </c>
      <c r="C4" s="54" t="s">
        <v>298</v>
      </c>
      <c r="D4" s="55" t="s">
        <v>299</v>
      </c>
      <c r="E4" s="54"/>
      <c r="F4" s="56" t="s">
        <v>300</v>
      </c>
      <c r="G4" s="54"/>
      <c r="H4" s="57" t="s">
        <v>149</v>
      </c>
      <c r="I4" s="54"/>
      <c r="J4" s="57" t="s">
        <v>148</v>
      </c>
      <c r="K4" s="54"/>
      <c r="L4" s="57" t="s">
        <v>301</v>
      </c>
      <c r="M4" s="54"/>
      <c r="N4" s="57" t="s">
        <v>150</v>
      </c>
      <c r="O4" s="57"/>
      <c r="P4" s="57"/>
      <c r="Q4" s="57"/>
      <c r="R4" s="54" t="s">
        <v>302</v>
      </c>
      <c r="S4" s="54"/>
      <c r="T4" s="57" t="s">
        <v>152</v>
      </c>
      <c r="U4" s="54"/>
      <c r="V4" s="58" t="s">
        <v>303</v>
      </c>
      <c r="W4" s="55" t="s">
        <v>161</v>
      </c>
      <c r="X4" s="94" t="s">
        <v>298</v>
      </c>
      <c r="Y4" s="101" t="s">
        <v>304</v>
      </c>
      <c r="Z4" s="65" t="s">
        <v>305</v>
      </c>
      <c r="AA4" s="55" t="s">
        <v>306</v>
      </c>
      <c r="AB4" s="102" t="s">
        <v>307</v>
      </c>
      <c r="AC4" s="103"/>
    </row>
    <row r="5" s="31" customFormat="1" ht="154" customHeight="1" spans="1:29">
      <c r="A5" s="54"/>
      <c r="B5" s="54"/>
      <c r="C5" s="54"/>
      <c r="D5" s="55" t="s">
        <v>308</v>
      </c>
      <c r="E5" s="58" t="s">
        <v>161</v>
      </c>
      <c r="F5" s="56" t="s">
        <v>309</v>
      </c>
      <c r="G5" s="58" t="s">
        <v>161</v>
      </c>
      <c r="H5" s="57" t="s">
        <v>310</v>
      </c>
      <c r="I5" s="58" t="s">
        <v>161</v>
      </c>
      <c r="J5" s="79" t="s">
        <v>311</v>
      </c>
      <c r="K5" s="58" t="s">
        <v>161</v>
      </c>
      <c r="L5" s="57" t="s">
        <v>312</v>
      </c>
      <c r="M5" s="58" t="s">
        <v>161</v>
      </c>
      <c r="N5" s="57" t="s">
        <v>313</v>
      </c>
      <c r="O5" s="58" t="s">
        <v>161</v>
      </c>
      <c r="P5" s="57" t="s">
        <v>314</v>
      </c>
      <c r="Q5" s="58" t="s">
        <v>161</v>
      </c>
      <c r="R5" s="54" t="s">
        <v>315</v>
      </c>
      <c r="S5" s="54" t="s">
        <v>161</v>
      </c>
      <c r="T5" s="57" t="s">
        <v>316</v>
      </c>
      <c r="U5" s="58" t="s">
        <v>161</v>
      </c>
      <c r="V5" s="58"/>
      <c r="W5" s="55"/>
      <c r="X5" s="94"/>
      <c r="Y5" s="101"/>
      <c r="Z5" s="65"/>
      <c r="AA5" s="55"/>
      <c r="AB5" s="102"/>
      <c r="AC5" s="103"/>
    </row>
    <row r="6" s="32" customFormat="1" ht="142" customHeight="1" spans="1:240">
      <c r="A6" s="54"/>
      <c r="B6" s="54"/>
      <c r="C6" s="59" t="s">
        <v>317</v>
      </c>
      <c r="D6" s="59">
        <v>2</v>
      </c>
      <c r="E6" s="1" t="s">
        <v>318</v>
      </c>
      <c r="F6" s="60">
        <v>4</v>
      </c>
      <c r="G6" s="1" t="s">
        <v>319</v>
      </c>
      <c r="H6" s="60">
        <v>6</v>
      </c>
      <c r="I6" s="1" t="s">
        <v>320</v>
      </c>
      <c r="J6" s="60">
        <v>8</v>
      </c>
      <c r="K6" s="1" t="s">
        <v>321</v>
      </c>
      <c r="L6" s="60">
        <v>10</v>
      </c>
      <c r="M6" s="1" t="s">
        <v>322</v>
      </c>
      <c r="N6" s="60">
        <v>12</v>
      </c>
      <c r="O6" s="1" t="s">
        <v>323</v>
      </c>
      <c r="P6" s="60">
        <v>14</v>
      </c>
      <c r="Q6" s="1" t="s">
        <v>324</v>
      </c>
      <c r="R6" s="59">
        <v>16</v>
      </c>
      <c r="S6" s="1" t="s">
        <v>325</v>
      </c>
      <c r="T6" s="60">
        <v>18</v>
      </c>
      <c r="U6" s="1" t="s">
        <v>326</v>
      </c>
      <c r="V6" s="1" t="s">
        <v>327</v>
      </c>
      <c r="W6" s="95" t="s">
        <v>328</v>
      </c>
      <c r="X6" s="96" t="s">
        <v>329</v>
      </c>
      <c r="Y6" s="101"/>
      <c r="Z6" s="65"/>
      <c r="AA6" s="55"/>
      <c r="AB6" s="102"/>
      <c r="AC6" s="103"/>
      <c r="AD6" s="104"/>
      <c r="AE6" s="104"/>
      <c r="AF6" s="104"/>
      <c r="AG6" s="104"/>
      <c r="AH6" s="104"/>
      <c r="AI6" s="104"/>
      <c r="AJ6" s="104"/>
      <c r="AK6" s="104"/>
      <c r="AL6" s="104"/>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4"/>
      <c r="BM6" s="104"/>
      <c r="BN6" s="104"/>
      <c r="BO6" s="104"/>
      <c r="BP6" s="104"/>
      <c r="BQ6" s="104"/>
      <c r="BR6" s="104"/>
      <c r="BS6" s="104"/>
      <c r="BT6" s="104"/>
      <c r="BU6" s="104"/>
      <c r="BV6" s="104"/>
      <c r="BW6" s="104"/>
      <c r="BX6" s="104"/>
      <c r="BY6" s="104"/>
      <c r="BZ6" s="104"/>
      <c r="CA6" s="104"/>
      <c r="CB6" s="104"/>
      <c r="CC6" s="104"/>
      <c r="CD6" s="104"/>
      <c r="CE6" s="104"/>
      <c r="CF6" s="104"/>
      <c r="CG6" s="104"/>
      <c r="CH6" s="104"/>
      <c r="CI6" s="104"/>
      <c r="CJ6" s="104"/>
      <c r="CK6" s="104"/>
      <c r="CL6" s="104"/>
      <c r="CM6" s="104"/>
      <c r="CN6" s="104"/>
      <c r="CO6" s="104"/>
      <c r="CP6" s="104"/>
      <c r="CQ6" s="104"/>
      <c r="CR6" s="104"/>
      <c r="CS6" s="104"/>
      <c r="CT6" s="104"/>
      <c r="CU6" s="104"/>
      <c r="CV6" s="104"/>
      <c r="CW6" s="104"/>
      <c r="CX6" s="104"/>
      <c r="CY6" s="104"/>
      <c r="CZ6" s="104"/>
      <c r="DA6" s="104"/>
      <c r="DB6" s="104"/>
      <c r="DC6" s="104"/>
      <c r="DD6" s="104"/>
      <c r="DE6" s="104"/>
      <c r="DF6" s="104"/>
      <c r="DG6" s="104"/>
      <c r="DH6" s="104"/>
      <c r="DI6" s="104"/>
      <c r="DJ6" s="104"/>
      <c r="DK6" s="104"/>
      <c r="DL6" s="104"/>
      <c r="DM6" s="104"/>
      <c r="DN6" s="104"/>
      <c r="DO6" s="104"/>
      <c r="DP6" s="104"/>
      <c r="DQ6" s="104"/>
      <c r="DR6" s="104"/>
      <c r="DS6" s="104"/>
      <c r="DT6" s="104"/>
      <c r="DU6" s="104"/>
      <c r="DV6" s="104"/>
      <c r="DW6" s="104"/>
      <c r="DX6" s="104"/>
      <c r="DY6" s="104"/>
      <c r="DZ6" s="104"/>
      <c r="EA6" s="104"/>
      <c r="EB6" s="104"/>
      <c r="EC6" s="104"/>
      <c r="ED6" s="104"/>
      <c r="EE6" s="104"/>
      <c r="EF6" s="104"/>
      <c r="EG6" s="104"/>
      <c r="EH6" s="104"/>
      <c r="EI6" s="104"/>
      <c r="EJ6" s="104"/>
      <c r="EK6" s="104"/>
      <c r="EL6" s="104"/>
      <c r="EM6" s="104"/>
      <c r="EN6" s="104"/>
      <c r="EO6" s="104"/>
      <c r="EP6" s="104"/>
      <c r="EQ6" s="104"/>
      <c r="ER6" s="104"/>
      <c r="ES6" s="104"/>
      <c r="ET6" s="104"/>
      <c r="EU6" s="104"/>
      <c r="EV6" s="104"/>
      <c r="EW6" s="104"/>
      <c r="EX6" s="104"/>
      <c r="EY6" s="104"/>
      <c r="EZ6" s="104"/>
      <c r="FA6" s="104"/>
      <c r="FB6" s="104"/>
      <c r="FC6" s="104"/>
      <c r="FD6" s="104"/>
      <c r="FE6" s="104"/>
      <c r="FF6" s="104"/>
      <c r="FG6" s="104"/>
      <c r="FH6" s="104"/>
      <c r="FI6" s="104"/>
      <c r="FJ6" s="104"/>
      <c r="FK6" s="104"/>
      <c r="FL6" s="104"/>
      <c r="FM6" s="104"/>
      <c r="FN6" s="104"/>
      <c r="FO6" s="104"/>
      <c r="FP6" s="104"/>
      <c r="FQ6" s="104"/>
      <c r="FR6" s="104"/>
      <c r="FS6" s="104"/>
      <c r="FT6" s="104"/>
      <c r="FU6" s="104"/>
      <c r="FV6" s="104"/>
      <c r="FW6" s="104"/>
      <c r="FX6" s="104"/>
      <c r="FY6" s="104"/>
      <c r="FZ6" s="104"/>
      <c r="GA6" s="104"/>
      <c r="GB6" s="104"/>
      <c r="GC6" s="104"/>
      <c r="GD6" s="104"/>
      <c r="GE6" s="104"/>
      <c r="GF6" s="104"/>
      <c r="GG6" s="104"/>
      <c r="GH6" s="104"/>
      <c r="GI6" s="104"/>
      <c r="GJ6" s="104"/>
      <c r="GK6" s="104"/>
      <c r="GL6" s="104"/>
      <c r="GM6" s="104"/>
      <c r="GN6" s="104"/>
      <c r="GO6" s="104"/>
      <c r="GP6" s="104"/>
      <c r="GQ6" s="104"/>
      <c r="GR6" s="104"/>
      <c r="GS6" s="104"/>
      <c r="GT6" s="104"/>
      <c r="GU6" s="104"/>
      <c r="GV6" s="104"/>
      <c r="GW6" s="104"/>
      <c r="GX6" s="104"/>
      <c r="GY6" s="104"/>
      <c r="GZ6" s="104"/>
      <c r="HA6" s="104"/>
      <c r="HB6" s="104"/>
      <c r="HC6" s="104"/>
      <c r="HD6" s="104"/>
      <c r="HE6" s="104"/>
      <c r="HF6" s="104"/>
      <c r="HG6" s="104"/>
      <c r="HH6" s="104"/>
      <c r="HI6" s="104"/>
      <c r="HJ6" s="104"/>
      <c r="HK6" s="104"/>
      <c r="HL6" s="104"/>
      <c r="HM6" s="104"/>
      <c r="HN6" s="104"/>
      <c r="HO6" s="104"/>
      <c r="HP6" s="104"/>
      <c r="HQ6" s="104"/>
      <c r="HR6" s="104"/>
      <c r="HS6" s="104"/>
      <c r="HT6" s="104"/>
      <c r="HU6" s="104"/>
      <c r="HV6" s="104"/>
      <c r="HW6" s="104"/>
      <c r="HX6" s="104"/>
      <c r="HY6" s="104"/>
      <c r="HZ6" s="104"/>
      <c r="IA6" s="104"/>
      <c r="IB6" s="104"/>
      <c r="IC6" s="104"/>
      <c r="ID6" s="104"/>
      <c r="IE6" s="104"/>
      <c r="IF6" s="104"/>
    </row>
    <row r="7" s="33" customFormat="1" ht="31" customHeight="1" spans="1:29">
      <c r="A7" s="61" t="s">
        <v>82</v>
      </c>
      <c r="B7" s="61"/>
      <c r="C7" s="62">
        <f>C8+C23</f>
        <v>6834.1513</v>
      </c>
      <c r="D7" s="63">
        <f>D8+D23</f>
        <v>19808</v>
      </c>
      <c r="E7" s="64">
        <f>E8+E23</f>
        <v>1</v>
      </c>
      <c r="F7" s="63">
        <f t="shared" ref="F7:M7" si="0">F8+F23</f>
        <v>52543</v>
      </c>
      <c r="G7" s="65">
        <f t="shared" si="0"/>
        <v>0.9998</v>
      </c>
      <c r="H7" s="63">
        <f t="shared" si="0"/>
        <v>39940</v>
      </c>
      <c r="I7" s="55">
        <f t="shared" si="0"/>
        <v>1</v>
      </c>
      <c r="J7" s="80">
        <f t="shared" si="0"/>
        <v>8866</v>
      </c>
      <c r="K7" s="81">
        <f t="shared" si="0"/>
        <v>0.9999</v>
      </c>
      <c r="L7" s="82">
        <f t="shared" si="0"/>
        <v>30220</v>
      </c>
      <c r="M7" s="64">
        <f t="shared" si="0"/>
        <v>1.0011</v>
      </c>
      <c r="N7" s="63">
        <f t="shared" ref="N7:U7" si="1">N8+N23</f>
        <v>333353.53728</v>
      </c>
      <c r="O7" s="65">
        <f t="shared" si="1"/>
        <v>1.0001</v>
      </c>
      <c r="P7" s="63">
        <f t="shared" si="1"/>
        <v>15.0001</v>
      </c>
      <c r="Q7" s="65">
        <f t="shared" si="1"/>
        <v>1.0004</v>
      </c>
      <c r="R7" s="63">
        <f t="shared" si="1"/>
        <v>164</v>
      </c>
      <c r="S7" s="64">
        <f t="shared" si="1"/>
        <v>1.0002</v>
      </c>
      <c r="T7" s="63">
        <f t="shared" si="1"/>
        <v>52600</v>
      </c>
      <c r="U7" s="97">
        <f t="shared" si="1"/>
        <v>1.018</v>
      </c>
      <c r="V7" s="82">
        <f>ROUNDDOWN((V8+V23),0)</f>
        <v>1000</v>
      </c>
      <c r="W7" s="55">
        <f t="shared" ref="W7:Z7" si="2">W8+W23</f>
        <v>1</v>
      </c>
      <c r="X7" s="62">
        <f t="shared" si="2"/>
        <v>6834.1513</v>
      </c>
      <c r="Y7" s="62"/>
      <c r="Z7" s="105">
        <f>Z8+Z23</f>
        <v>6333.6334</v>
      </c>
      <c r="AA7" s="105">
        <f>X7-Z7</f>
        <v>500.5179</v>
      </c>
      <c r="AB7" s="106">
        <f>AA7*100/Z7</f>
        <v>7.90253979650922</v>
      </c>
      <c r="AC7" s="107"/>
    </row>
    <row r="8" s="33" customFormat="1" ht="31" customHeight="1" spans="1:29">
      <c r="A8" s="61" t="s">
        <v>290</v>
      </c>
      <c r="B8" s="61"/>
      <c r="C8" s="62">
        <f>SUM(C9:C22)</f>
        <v>4708.73</v>
      </c>
      <c r="D8" s="63">
        <f>SUM(D9:D22)</f>
        <v>12432</v>
      </c>
      <c r="E8" s="64">
        <f>SUM(E9:E22)</f>
        <v>0.6276</v>
      </c>
      <c r="F8" s="63">
        <f t="shared" ref="F8:M8" si="3">SUM(F9:F22)</f>
        <v>29758</v>
      </c>
      <c r="G8" s="65">
        <f t="shared" si="3"/>
        <v>0.5662</v>
      </c>
      <c r="H8" s="63">
        <f t="shared" si="3"/>
        <v>20298</v>
      </c>
      <c r="I8" s="83">
        <f t="shared" si="3"/>
        <v>0.5082</v>
      </c>
      <c r="J8" s="80">
        <f t="shared" si="3"/>
        <v>8321</v>
      </c>
      <c r="K8" s="65">
        <f t="shared" si="3"/>
        <v>0.9384</v>
      </c>
      <c r="L8" s="82">
        <f t="shared" si="3"/>
        <v>30206</v>
      </c>
      <c r="M8" s="64">
        <f t="shared" si="3"/>
        <v>0.9995</v>
      </c>
      <c r="N8" s="63">
        <f t="shared" ref="N8:S8" si="4">SUM(N9:N22)</f>
        <v>172507.6</v>
      </c>
      <c r="O8" s="65">
        <f t="shared" si="4"/>
        <v>0.5176</v>
      </c>
      <c r="P8" s="63">
        <f t="shared" si="4"/>
        <v>15</v>
      </c>
      <c r="Q8" s="65">
        <f t="shared" si="4"/>
        <v>1.0004</v>
      </c>
      <c r="R8" s="63">
        <f t="shared" si="4"/>
        <v>84</v>
      </c>
      <c r="S8" s="64">
        <f t="shared" si="4"/>
        <v>0.5124</v>
      </c>
      <c r="T8" s="63">
        <f>SUM(T10:T22)</f>
        <v>48600</v>
      </c>
      <c r="U8" s="65">
        <f>ROUNDDOWN(SUM(U9:U22),3)</f>
        <v>0.942</v>
      </c>
      <c r="V8" s="82">
        <f t="shared" ref="V8:Z8" si="5">SUM(V9:V22)</f>
        <v>690.557</v>
      </c>
      <c r="W8" s="65">
        <f>ROUND(SUM(W9:W22),3)</f>
        <v>0.689</v>
      </c>
      <c r="X8" s="62">
        <f>SUM(X9:X22)</f>
        <v>4708.73</v>
      </c>
      <c r="Y8" s="62"/>
      <c r="Z8" s="105">
        <f>SUM(Z9:Z22)</f>
        <v>4467.9244</v>
      </c>
      <c r="AA8" s="105">
        <f t="shared" ref="AA8:AA39" si="6">X8-Z8</f>
        <v>240.8056</v>
      </c>
      <c r="AB8" s="106">
        <f t="shared" ref="AB8:AB39" si="7">AA8*100/Z8</f>
        <v>5.38965251963528</v>
      </c>
      <c r="AC8" s="107"/>
    </row>
    <row r="9" s="33" customFormat="1" ht="31" customHeight="1" spans="1:29">
      <c r="A9" s="27">
        <v>604001</v>
      </c>
      <c r="B9" s="27" t="s">
        <v>85</v>
      </c>
      <c r="C9" s="27">
        <f>X9</f>
        <v>492.06</v>
      </c>
      <c r="D9" s="66">
        <v>1262</v>
      </c>
      <c r="E9" s="67">
        <f t="shared" ref="E9:E22" si="8">ROUND(D9/$D$7,4)</f>
        <v>0.0637</v>
      </c>
      <c r="F9" s="68">
        <v>4142</v>
      </c>
      <c r="G9" s="67">
        <f>ROUND(F9/$F$7,4)</f>
        <v>0.0788</v>
      </c>
      <c r="H9" s="69">
        <v>2542</v>
      </c>
      <c r="I9" s="84">
        <f>ROUND(H9/$H$7,4)</f>
        <v>0.0636</v>
      </c>
      <c r="J9" s="85">
        <v>933</v>
      </c>
      <c r="K9" s="67">
        <f>ROUND(J9/$J$7,4)</f>
        <v>0.1052</v>
      </c>
      <c r="L9" s="86">
        <v>2600</v>
      </c>
      <c r="M9" s="87">
        <f>ROUND(L9/$L$7,4)</f>
        <v>0.086</v>
      </c>
      <c r="N9" s="71">
        <v>24581</v>
      </c>
      <c r="O9" s="67">
        <f t="shared" ref="O9:O22" si="9">ROUND(N9/$N$7,4)</f>
        <v>0.0737</v>
      </c>
      <c r="P9" s="60">
        <v>1</v>
      </c>
      <c r="Q9" s="67">
        <f>ROUND(P9/$P$7,4)</f>
        <v>0.0667</v>
      </c>
      <c r="R9" s="27">
        <v>5</v>
      </c>
      <c r="S9" s="67">
        <f>ROUND(R9/$R$7,4)</f>
        <v>0.0305</v>
      </c>
      <c r="T9" s="59">
        <v>1000</v>
      </c>
      <c r="U9" s="67">
        <f>ROUNDDOWN(T9/$T$7,4)</f>
        <v>0.019</v>
      </c>
      <c r="V9" s="1">
        <f>ROUNDDOWN((E9*0.2+G9*0.15+I9*0.09+K9*0.05+M9*0.19+O9*0.22+Q9*0.04+S9*0.03+U9*0.03)*1000,4)</f>
        <v>72.251</v>
      </c>
      <c r="W9" s="95">
        <f>ROUND(V9/$V$7,3)</f>
        <v>0.072</v>
      </c>
      <c r="X9" s="98">
        <f t="shared" ref="X9:X22" si="10">ROUND(6834.15*W9,2)</f>
        <v>492.06</v>
      </c>
      <c r="Y9" s="98"/>
      <c r="Z9" s="108">
        <v>482.5248</v>
      </c>
      <c r="AA9" s="105">
        <f t="shared" si="6"/>
        <v>9.53519999999997</v>
      </c>
      <c r="AB9" s="106">
        <f t="shared" si="7"/>
        <v>1.97610568410162</v>
      </c>
      <c r="AC9" s="107"/>
    </row>
    <row r="10" s="33" customFormat="1" ht="31" customHeight="1" spans="1:29">
      <c r="A10" s="27">
        <v>606001</v>
      </c>
      <c r="B10" s="27" t="s">
        <v>87</v>
      </c>
      <c r="C10" s="27">
        <f t="shared" ref="C10:C41" si="11">X10</f>
        <v>369.04</v>
      </c>
      <c r="D10" s="66">
        <v>477</v>
      </c>
      <c r="E10" s="67">
        <f t="shared" si="8"/>
        <v>0.0241</v>
      </c>
      <c r="F10" s="68">
        <v>1718</v>
      </c>
      <c r="G10" s="67">
        <f t="shared" ref="G10:G41" si="12">ROUND(F10/$F$7,4)</f>
        <v>0.0327</v>
      </c>
      <c r="H10" s="69">
        <v>1406</v>
      </c>
      <c r="I10" s="84">
        <f t="shared" ref="I10:I41" si="13">ROUND(H10/$H$7,4)</f>
        <v>0.0352</v>
      </c>
      <c r="J10" s="88">
        <v>589</v>
      </c>
      <c r="K10" s="67">
        <f t="shared" ref="K10:K41" si="14">ROUND(J10/$J$7,4)</f>
        <v>0.0664</v>
      </c>
      <c r="L10" s="86">
        <v>3686</v>
      </c>
      <c r="M10" s="87">
        <f t="shared" ref="M10:M41" si="15">ROUND(L10/$L$7,4)</f>
        <v>0.122</v>
      </c>
      <c r="N10" s="71">
        <v>13169.2</v>
      </c>
      <c r="O10" s="67">
        <f t="shared" si="9"/>
        <v>0.0395</v>
      </c>
      <c r="P10" s="60">
        <v>1</v>
      </c>
      <c r="Q10" s="67">
        <f t="shared" ref="Q10:Q41" si="16">ROUND(P10/$P$7,4)</f>
        <v>0.0667</v>
      </c>
      <c r="R10" s="27">
        <v>9</v>
      </c>
      <c r="S10" s="67">
        <f t="shared" ref="S10:S41" si="17">ROUND(R10/$R$7,4)</f>
        <v>0.0549</v>
      </c>
      <c r="T10" s="60">
        <v>3400</v>
      </c>
      <c r="U10" s="67">
        <f>ROUND(T10/$T$7,4)</f>
        <v>0.0646</v>
      </c>
      <c r="V10" s="1">
        <f t="shared" ref="V10:V41" si="18">ROUNDDOWN((E10*0.2+G10*0.15+I10*0.09+K10*0.05+M10*0.19+O10*0.22+Q10*0.04+S10*0.03+U10*0.03)*1000,4)</f>
        <v>54.336</v>
      </c>
      <c r="W10" s="95">
        <f t="shared" ref="W10:W41" si="19">ROUND(V10/$V$7,3)</f>
        <v>0.054</v>
      </c>
      <c r="X10" s="98">
        <f t="shared" si="10"/>
        <v>369.04</v>
      </c>
      <c r="Y10" s="98"/>
      <c r="Z10" s="108">
        <v>355.5762</v>
      </c>
      <c r="AA10" s="105">
        <f t="shared" si="6"/>
        <v>13.4638</v>
      </c>
      <c r="AB10" s="106">
        <f t="shared" si="7"/>
        <v>3.78647389785932</v>
      </c>
      <c r="AC10" s="107"/>
    </row>
    <row r="11" s="33" customFormat="1" ht="31" customHeight="1" spans="1:29">
      <c r="A11" s="27">
        <v>607001</v>
      </c>
      <c r="B11" s="27" t="s">
        <v>88</v>
      </c>
      <c r="C11" s="27">
        <f t="shared" si="11"/>
        <v>246.03</v>
      </c>
      <c r="D11" s="66">
        <v>490</v>
      </c>
      <c r="E11" s="67">
        <f t="shared" si="8"/>
        <v>0.0247</v>
      </c>
      <c r="F11" s="68">
        <v>1274</v>
      </c>
      <c r="G11" s="67">
        <f t="shared" si="12"/>
        <v>0.0242</v>
      </c>
      <c r="H11" s="69">
        <v>980</v>
      </c>
      <c r="I11" s="84">
        <f t="shared" si="13"/>
        <v>0.0245</v>
      </c>
      <c r="J11" s="88">
        <v>335</v>
      </c>
      <c r="K11" s="67">
        <f t="shared" si="14"/>
        <v>0.0378</v>
      </c>
      <c r="L11" s="86">
        <v>1580</v>
      </c>
      <c r="M11" s="87">
        <f t="shared" si="15"/>
        <v>0.0523</v>
      </c>
      <c r="N11" s="71">
        <v>11261.4</v>
      </c>
      <c r="O11" s="67">
        <f t="shared" si="9"/>
        <v>0.0338</v>
      </c>
      <c r="P11" s="60">
        <v>1</v>
      </c>
      <c r="Q11" s="67">
        <f t="shared" si="16"/>
        <v>0.0667</v>
      </c>
      <c r="R11" s="27">
        <v>6</v>
      </c>
      <c r="S11" s="67">
        <f t="shared" si="17"/>
        <v>0.0366</v>
      </c>
      <c r="T11" s="60">
        <v>4600</v>
      </c>
      <c r="U11" s="67">
        <f t="shared" ref="U11:U42" si="20">ROUND(T11/$T$7,4)</f>
        <v>0.0875</v>
      </c>
      <c r="V11" s="1">
        <f t="shared" si="18"/>
        <v>36.429</v>
      </c>
      <c r="W11" s="95">
        <f t="shared" si="19"/>
        <v>0.036</v>
      </c>
      <c r="X11" s="98">
        <f t="shared" si="10"/>
        <v>246.03</v>
      </c>
      <c r="Y11" s="98"/>
      <c r="Z11" s="108">
        <v>237.192</v>
      </c>
      <c r="AA11" s="105">
        <f t="shared" si="6"/>
        <v>8.83799999999999</v>
      </c>
      <c r="AB11" s="106">
        <f t="shared" si="7"/>
        <v>3.72609531518769</v>
      </c>
      <c r="AC11" s="107"/>
    </row>
    <row r="12" s="34" customFormat="1" ht="31" customHeight="1" spans="1:29">
      <c r="A12" s="27">
        <v>608001</v>
      </c>
      <c r="B12" s="27" t="s">
        <v>89</v>
      </c>
      <c r="C12" s="27">
        <f t="shared" si="11"/>
        <v>266.53</v>
      </c>
      <c r="D12" s="66">
        <v>150</v>
      </c>
      <c r="E12" s="67">
        <f t="shared" si="8"/>
        <v>0.0076</v>
      </c>
      <c r="F12" s="68">
        <v>1715</v>
      </c>
      <c r="G12" s="67">
        <f t="shared" si="12"/>
        <v>0.0326</v>
      </c>
      <c r="H12" s="69">
        <v>758</v>
      </c>
      <c r="I12" s="84">
        <f t="shared" si="13"/>
        <v>0.019</v>
      </c>
      <c r="J12" s="88">
        <v>726</v>
      </c>
      <c r="K12" s="67">
        <f t="shared" si="14"/>
        <v>0.0819</v>
      </c>
      <c r="L12" s="86">
        <v>1990</v>
      </c>
      <c r="M12" s="87">
        <f t="shared" si="15"/>
        <v>0.0659</v>
      </c>
      <c r="N12" s="71">
        <v>13119.2</v>
      </c>
      <c r="O12" s="67">
        <f t="shared" si="9"/>
        <v>0.0394</v>
      </c>
      <c r="P12" s="60">
        <v>1</v>
      </c>
      <c r="Q12" s="67">
        <f t="shared" si="16"/>
        <v>0.0667</v>
      </c>
      <c r="R12" s="27">
        <v>7</v>
      </c>
      <c r="S12" s="67">
        <f t="shared" si="17"/>
        <v>0.0427</v>
      </c>
      <c r="T12" s="60">
        <v>3000</v>
      </c>
      <c r="U12" s="67">
        <f t="shared" si="20"/>
        <v>0.057</v>
      </c>
      <c r="V12" s="1">
        <f t="shared" si="18"/>
        <v>39.063</v>
      </c>
      <c r="W12" s="95">
        <f t="shared" si="19"/>
        <v>0.039</v>
      </c>
      <c r="X12" s="98">
        <f t="shared" si="10"/>
        <v>266.53</v>
      </c>
      <c r="Y12" s="98"/>
      <c r="Z12" s="108">
        <v>253.3494</v>
      </c>
      <c r="AA12" s="105">
        <f t="shared" si="6"/>
        <v>13.1806</v>
      </c>
      <c r="AB12" s="106">
        <f t="shared" si="7"/>
        <v>5.20253847058646</v>
      </c>
      <c r="AC12" s="107"/>
    </row>
    <row r="13" s="34" customFormat="1" ht="31" customHeight="1" spans="1:240">
      <c r="A13" s="27">
        <v>609001</v>
      </c>
      <c r="B13" s="27" t="s">
        <v>90</v>
      </c>
      <c r="C13" s="27">
        <f t="shared" si="11"/>
        <v>512.56</v>
      </c>
      <c r="D13" s="66">
        <v>1072</v>
      </c>
      <c r="E13" s="67">
        <f t="shared" si="8"/>
        <v>0.0541</v>
      </c>
      <c r="F13" s="68">
        <v>4048</v>
      </c>
      <c r="G13" s="67">
        <f t="shared" si="12"/>
        <v>0.077</v>
      </c>
      <c r="H13" s="69">
        <v>2016</v>
      </c>
      <c r="I13" s="84">
        <f t="shared" si="13"/>
        <v>0.0505</v>
      </c>
      <c r="J13" s="88">
        <v>391</v>
      </c>
      <c r="K13" s="67">
        <f t="shared" si="14"/>
        <v>0.0441</v>
      </c>
      <c r="L13" s="86">
        <v>3470</v>
      </c>
      <c r="M13" s="87">
        <f t="shared" si="15"/>
        <v>0.1148</v>
      </c>
      <c r="N13" s="71">
        <v>22972.2</v>
      </c>
      <c r="O13" s="67">
        <f t="shared" si="9"/>
        <v>0.0689</v>
      </c>
      <c r="P13" s="60">
        <v>2</v>
      </c>
      <c r="Q13" s="67">
        <f t="shared" si="16"/>
        <v>0.1333</v>
      </c>
      <c r="R13" s="27">
        <v>5</v>
      </c>
      <c r="S13" s="67">
        <f t="shared" si="17"/>
        <v>0.0305</v>
      </c>
      <c r="T13" s="60">
        <v>4300</v>
      </c>
      <c r="U13" s="67">
        <f t="shared" si="20"/>
        <v>0.0817</v>
      </c>
      <c r="V13" s="1">
        <f t="shared" si="18"/>
        <v>74.788</v>
      </c>
      <c r="W13" s="95">
        <f t="shared" si="19"/>
        <v>0.075</v>
      </c>
      <c r="X13" s="98">
        <f t="shared" si="10"/>
        <v>512.56</v>
      </c>
      <c r="Y13" s="98"/>
      <c r="Z13" s="108">
        <v>490.4588</v>
      </c>
      <c r="AA13" s="105">
        <f t="shared" si="6"/>
        <v>22.1011999999999</v>
      </c>
      <c r="AB13" s="106">
        <f t="shared" si="7"/>
        <v>4.50622967719204</v>
      </c>
      <c r="AC13" s="107"/>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c r="BP13" s="30"/>
      <c r="BQ13" s="30"/>
      <c r="BR13" s="30"/>
      <c r="BS13" s="30"/>
      <c r="BT13" s="30"/>
      <c r="BU13" s="30"/>
      <c r="BV13" s="30"/>
      <c r="BW13" s="30"/>
      <c r="BX13" s="30"/>
      <c r="BY13" s="30"/>
      <c r="BZ13" s="30"/>
      <c r="CA13" s="30"/>
      <c r="CB13" s="30"/>
      <c r="CC13" s="30"/>
      <c r="CD13" s="30"/>
      <c r="CE13" s="30"/>
      <c r="CF13" s="30"/>
      <c r="CG13" s="30"/>
      <c r="CH13" s="30"/>
      <c r="CI13" s="30"/>
      <c r="CJ13" s="30"/>
      <c r="CK13" s="30"/>
      <c r="CL13" s="30"/>
      <c r="CM13" s="30"/>
      <c r="CN13" s="30"/>
      <c r="CO13" s="30"/>
      <c r="CP13" s="30"/>
      <c r="CQ13" s="30"/>
      <c r="CR13" s="30"/>
      <c r="CS13" s="30"/>
      <c r="CT13" s="30"/>
      <c r="CU13" s="30"/>
      <c r="CV13" s="30"/>
      <c r="CW13" s="30"/>
      <c r="CX13" s="30"/>
      <c r="CY13" s="30"/>
      <c r="CZ13" s="30"/>
      <c r="DA13" s="30"/>
      <c r="DB13" s="30"/>
      <c r="DC13" s="30"/>
      <c r="DD13" s="30"/>
      <c r="DE13" s="30"/>
      <c r="DF13" s="30"/>
      <c r="DG13" s="30"/>
      <c r="DH13" s="30"/>
      <c r="DI13" s="30"/>
      <c r="DJ13" s="30"/>
      <c r="DK13" s="30"/>
      <c r="DL13" s="30"/>
      <c r="DM13" s="30"/>
      <c r="DN13" s="30"/>
      <c r="DO13" s="30"/>
      <c r="DP13" s="30"/>
      <c r="DQ13" s="30"/>
      <c r="DR13" s="30"/>
      <c r="DS13" s="30"/>
      <c r="DT13" s="30"/>
      <c r="DU13" s="30"/>
      <c r="DV13" s="30"/>
      <c r="DW13" s="30"/>
      <c r="DX13" s="30"/>
      <c r="DY13" s="30"/>
      <c r="DZ13" s="30"/>
      <c r="EA13" s="30"/>
      <c r="EB13" s="30"/>
      <c r="EC13" s="30"/>
      <c r="ED13" s="30"/>
      <c r="EE13" s="30"/>
      <c r="EF13" s="30"/>
      <c r="EG13" s="30"/>
      <c r="EH13" s="30"/>
      <c r="EI13" s="30"/>
      <c r="EJ13" s="30"/>
      <c r="EK13" s="30"/>
      <c r="EL13" s="30"/>
      <c r="EM13" s="30"/>
      <c r="EN13" s="30"/>
      <c r="EO13" s="30"/>
      <c r="EP13" s="30"/>
      <c r="EQ13" s="30"/>
      <c r="ER13" s="30"/>
      <c r="ES13" s="30"/>
      <c r="ET13" s="30"/>
      <c r="EU13" s="30"/>
      <c r="EV13" s="30"/>
      <c r="EW13" s="30"/>
      <c r="EX13" s="30"/>
      <c r="EY13" s="30"/>
      <c r="EZ13" s="30"/>
      <c r="FA13" s="30"/>
      <c r="FB13" s="30"/>
      <c r="FC13" s="30"/>
      <c r="FD13" s="30"/>
      <c r="FE13" s="30"/>
      <c r="FF13" s="30"/>
      <c r="FG13" s="30"/>
      <c r="FH13" s="30"/>
      <c r="FI13" s="30"/>
      <c r="FJ13" s="30"/>
      <c r="FK13" s="30"/>
      <c r="FL13" s="30"/>
      <c r="FM13" s="30"/>
      <c r="FN13" s="30"/>
      <c r="FO13" s="30"/>
      <c r="FP13" s="30"/>
      <c r="FQ13" s="30"/>
      <c r="FR13" s="30"/>
      <c r="FS13" s="30"/>
      <c r="FT13" s="30"/>
      <c r="FU13" s="30"/>
      <c r="FV13" s="30"/>
      <c r="FW13" s="30"/>
      <c r="FX13" s="30"/>
      <c r="FY13" s="30"/>
      <c r="FZ13" s="30"/>
      <c r="GA13" s="30"/>
      <c r="GB13" s="30"/>
      <c r="GC13" s="30"/>
      <c r="GD13" s="30"/>
      <c r="GE13" s="30"/>
      <c r="GF13" s="30"/>
      <c r="GG13" s="30"/>
      <c r="GH13" s="30"/>
      <c r="GI13" s="30"/>
      <c r="GJ13" s="30"/>
      <c r="GK13" s="30"/>
      <c r="GL13" s="30"/>
      <c r="GM13" s="30"/>
      <c r="GN13" s="30"/>
      <c r="GO13" s="30"/>
      <c r="GP13" s="30"/>
      <c r="GQ13" s="30"/>
      <c r="GR13" s="30"/>
      <c r="GS13" s="30"/>
      <c r="GT13" s="30"/>
      <c r="GU13" s="30"/>
      <c r="GV13" s="30"/>
      <c r="GW13" s="30"/>
      <c r="GX13" s="30"/>
      <c r="GY13" s="30"/>
      <c r="GZ13" s="30"/>
      <c r="HA13" s="30"/>
      <c r="HB13" s="30"/>
      <c r="HC13" s="30"/>
      <c r="HD13" s="30"/>
      <c r="HE13" s="30"/>
      <c r="HF13" s="30"/>
      <c r="HG13" s="30"/>
      <c r="HH13" s="30"/>
      <c r="HI13" s="30"/>
      <c r="HJ13" s="30"/>
      <c r="HK13" s="30"/>
      <c r="HL13" s="30"/>
      <c r="HM13" s="30"/>
      <c r="HN13" s="30"/>
      <c r="HO13" s="30"/>
      <c r="HP13" s="30"/>
      <c r="HQ13" s="30"/>
      <c r="HR13" s="30"/>
      <c r="HS13" s="30"/>
      <c r="HT13" s="30"/>
      <c r="HU13" s="30"/>
      <c r="HV13" s="30"/>
      <c r="HW13" s="30"/>
      <c r="HX13" s="30"/>
      <c r="HY13" s="30"/>
      <c r="HZ13" s="30"/>
      <c r="IA13" s="30"/>
      <c r="IB13" s="30"/>
      <c r="IC13" s="30"/>
      <c r="ID13" s="30"/>
      <c r="IE13" s="30"/>
      <c r="IF13" s="30"/>
    </row>
    <row r="14" s="35" customFormat="1" ht="31" customHeight="1" spans="1:29">
      <c r="A14" s="27">
        <v>610001</v>
      </c>
      <c r="B14" s="27" t="s">
        <v>91</v>
      </c>
      <c r="C14" s="27">
        <f t="shared" si="11"/>
        <v>102.51</v>
      </c>
      <c r="D14" s="66">
        <v>150</v>
      </c>
      <c r="E14" s="67">
        <f t="shared" si="8"/>
        <v>0.0076</v>
      </c>
      <c r="F14" s="68">
        <v>504</v>
      </c>
      <c r="G14" s="67">
        <f t="shared" si="12"/>
        <v>0.0096</v>
      </c>
      <c r="H14" s="69">
        <v>275</v>
      </c>
      <c r="I14" s="84">
        <f t="shared" si="13"/>
        <v>0.0069</v>
      </c>
      <c r="J14" s="88">
        <v>2</v>
      </c>
      <c r="K14" s="67">
        <f t="shared" si="14"/>
        <v>0.0002</v>
      </c>
      <c r="L14" s="86">
        <v>1300</v>
      </c>
      <c r="M14" s="87">
        <f t="shared" si="15"/>
        <v>0.043</v>
      </c>
      <c r="N14" s="71">
        <v>228</v>
      </c>
      <c r="O14" s="67">
        <f t="shared" si="9"/>
        <v>0.0007</v>
      </c>
      <c r="P14" s="60">
        <v>1</v>
      </c>
      <c r="Q14" s="67">
        <f t="shared" si="16"/>
        <v>0.0667</v>
      </c>
      <c r="R14" s="27">
        <v>5</v>
      </c>
      <c r="S14" s="67">
        <f t="shared" si="17"/>
        <v>0.0305</v>
      </c>
      <c r="T14" s="60">
        <v>0</v>
      </c>
      <c r="U14" s="67">
        <f t="shared" si="20"/>
        <v>0</v>
      </c>
      <c r="V14" s="1">
        <f t="shared" si="18"/>
        <v>15.498</v>
      </c>
      <c r="W14" s="95">
        <f t="shared" si="19"/>
        <v>0.015</v>
      </c>
      <c r="X14" s="98">
        <f t="shared" si="10"/>
        <v>102.51</v>
      </c>
      <c r="Y14" s="98"/>
      <c r="Z14" s="108">
        <v>86.5466</v>
      </c>
      <c r="AA14" s="105">
        <f t="shared" si="6"/>
        <v>15.9634</v>
      </c>
      <c r="AB14" s="106">
        <f t="shared" si="7"/>
        <v>18.4448609188576</v>
      </c>
      <c r="AC14" s="107"/>
    </row>
    <row r="15" s="34" customFormat="1" ht="31" customHeight="1" spans="1:29">
      <c r="A15" s="27">
        <v>614001</v>
      </c>
      <c r="B15" s="27" t="s">
        <v>95</v>
      </c>
      <c r="C15" s="27">
        <f t="shared" si="11"/>
        <v>410.05</v>
      </c>
      <c r="D15" s="66">
        <v>3368</v>
      </c>
      <c r="E15" s="67">
        <f t="shared" si="8"/>
        <v>0.17</v>
      </c>
      <c r="F15" s="68">
        <v>1898</v>
      </c>
      <c r="G15" s="67">
        <f t="shared" si="12"/>
        <v>0.0361</v>
      </c>
      <c r="H15" s="69">
        <v>1261</v>
      </c>
      <c r="I15" s="84">
        <f t="shared" si="13"/>
        <v>0.0316</v>
      </c>
      <c r="J15" s="85">
        <v>231</v>
      </c>
      <c r="K15" s="67">
        <f t="shared" si="14"/>
        <v>0.0261</v>
      </c>
      <c r="L15" s="86">
        <v>1300</v>
      </c>
      <c r="M15" s="87">
        <f t="shared" si="15"/>
        <v>0.043</v>
      </c>
      <c r="N15" s="71">
        <v>374</v>
      </c>
      <c r="O15" s="67">
        <f t="shared" si="9"/>
        <v>0.0011</v>
      </c>
      <c r="P15" s="60">
        <v>1</v>
      </c>
      <c r="Q15" s="67">
        <f t="shared" si="16"/>
        <v>0.0667</v>
      </c>
      <c r="R15" s="27">
        <v>6</v>
      </c>
      <c r="S15" s="67">
        <f t="shared" si="17"/>
        <v>0.0366</v>
      </c>
      <c r="T15" s="60">
        <v>8300</v>
      </c>
      <c r="U15" s="67">
        <f t="shared" si="20"/>
        <v>0.1578</v>
      </c>
      <c r="V15" s="1">
        <f t="shared" si="18"/>
        <v>60.476</v>
      </c>
      <c r="W15" s="95">
        <f t="shared" si="19"/>
        <v>0.06</v>
      </c>
      <c r="X15" s="98">
        <f t="shared" si="10"/>
        <v>410.05</v>
      </c>
      <c r="Y15" s="98"/>
      <c r="Z15" s="108">
        <v>390.9016</v>
      </c>
      <c r="AA15" s="105">
        <f t="shared" si="6"/>
        <v>19.1484</v>
      </c>
      <c r="AB15" s="106">
        <f t="shared" si="7"/>
        <v>4.89852177632428</v>
      </c>
      <c r="AC15" s="107"/>
    </row>
    <row r="16" s="34" customFormat="1" ht="31" customHeight="1" spans="1:29">
      <c r="A16" s="27">
        <v>615001</v>
      </c>
      <c r="B16" s="27" t="s">
        <v>96</v>
      </c>
      <c r="C16" s="27">
        <f t="shared" si="11"/>
        <v>471.56</v>
      </c>
      <c r="D16" s="66">
        <v>996</v>
      </c>
      <c r="E16" s="67">
        <f t="shared" si="8"/>
        <v>0.0503</v>
      </c>
      <c r="F16" s="68">
        <v>2293</v>
      </c>
      <c r="G16" s="67">
        <f t="shared" si="12"/>
        <v>0.0436</v>
      </c>
      <c r="H16" s="69">
        <v>2243</v>
      </c>
      <c r="I16" s="84">
        <f t="shared" si="13"/>
        <v>0.0562</v>
      </c>
      <c r="J16" s="85">
        <v>1136</v>
      </c>
      <c r="K16" s="67">
        <f t="shared" si="14"/>
        <v>0.1281</v>
      </c>
      <c r="L16" s="86">
        <v>2910</v>
      </c>
      <c r="M16" s="87">
        <f t="shared" si="15"/>
        <v>0.0963</v>
      </c>
      <c r="N16" s="71">
        <v>28058</v>
      </c>
      <c r="O16" s="67">
        <f t="shared" si="9"/>
        <v>0.0842</v>
      </c>
      <c r="P16" s="60">
        <v>1</v>
      </c>
      <c r="Q16" s="67">
        <f t="shared" si="16"/>
        <v>0.0667</v>
      </c>
      <c r="R16" s="27">
        <v>5</v>
      </c>
      <c r="S16" s="67">
        <f t="shared" si="17"/>
        <v>0.0305</v>
      </c>
      <c r="T16" s="60">
        <v>1000</v>
      </c>
      <c r="U16" s="67">
        <f t="shared" si="20"/>
        <v>0.019</v>
      </c>
      <c r="V16" s="1">
        <f t="shared" si="18"/>
        <v>69.037</v>
      </c>
      <c r="W16" s="95">
        <f t="shared" si="19"/>
        <v>0.069</v>
      </c>
      <c r="X16" s="98">
        <f t="shared" si="10"/>
        <v>471.56</v>
      </c>
      <c r="Y16" s="98"/>
      <c r="Z16" s="108">
        <v>451.4317</v>
      </c>
      <c r="AA16" s="105">
        <f t="shared" si="6"/>
        <v>20.1283</v>
      </c>
      <c r="AB16" s="106">
        <f t="shared" si="7"/>
        <v>4.45876973194395</v>
      </c>
      <c r="AC16" s="107"/>
    </row>
    <row r="17" s="34" customFormat="1" ht="31" customHeight="1" spans="1:29">
      <c r="A17" s="27">
        <v>616001</v>
      </c>
      <c r="B17" s="27" t="s">
        <v>97</v>
      </c>
      <c r="C17" s="27">
        <f t="shared" si="11"/>
        <v>471.56</v>
      </c>
      <c r="D17" s="66">
        <v>1054</v>
      </c>
      <c r="E17" s="67">
        <f t="shared" si="8"/>
        <v>0.0532</v>
      </c>
      <c r="F17" s="68">
        <v>3305</v>
      </c>
      <c r="G17" s="67">
        <f t="shared" si="12"/>
        <v>0.0629</v>
      </c>
      <c r="H17" s="69">
        <v>2357</v>
      </c>
      <c r="I17" s="84">
        <f t="shared" si="13"/>
        <v>0.059</v>
      </c>
      <c r="J17" s="85">
        <v>1051</v>
      </c>
      <c r="K17" s="67">
        <f t="shared" si="14"/>
        <v>0.1185</v>
      </c>
      <c r="L17" s="86">
        <v>2600</v>
      </c>
      <c r="M17" s="87">
        <f t="shared" si="15"/>
        <v>0.086</v>
      </c>
      <c r="N17" s="71">
        <v>24626.2</v>
      </c>
      <c r="O17" s="67">
        <f t="shared" si="9"/>
        <v>0.0739</v>
      </c>
      <c r="P17" s="60">
        <v>1</v>
      </c>
      <c r="Q17" s="67">
        <f t="shared" si="16"/>
        <v>0.0667</v>
      </c>
      <c r="R17" s="27">
        <v>6</v>
      </c>
      <c r="S17" s="67">
        <f t="shared" si="17"/>
        <v>0.0366</v>
      </c>
      <c r="T17" s="60">
        <v>2000</v>
      </c>
      <c r="U17" s="67">
        <f t="shared" si="20"/>
        <v>0.038</v>
      </c>
      <c r="V17" s="1">
        <f t="shared" si="18"/>
        <v>68.814</v>
      </c>
      <c r="W17" s="95">
        <f t="shared" si="19"/>
        <v>0.069</v>
      </c>
      <c r="X17" s="98">
        <f t="shared" si="10"/>
        <v>471.56</v>
      </c>
      <c r="Y17" s="98"/>
      <c r="Z17" s="108">
        <v>435.5986</v>
      </c>
      <c r="AA17" s="105">
        <f t="shared" si="6"/>
        <v>35.9614</v>
      </c>
      <c r="AB17" s="106">
        <f t="shared" si="7"/>
        <v>8.25562800247752</v>
      </c>
      <c r="AC17" s="107"/>
    </row>
    <row r="18" s="34" customFormat="1" ht="31" customHeight="1" spans="1:240">
      <c r="A18" s="27">
        <v>617001</v>
      </c>
      <c r="B18" s="27" t="s">
        <v>98</v>
      </c>
      <c r="C18" s="27">
        <f t="shared" si="11"/>
        <v>362.21</v>
      </c>
      <c r="D18" s="66">
        <v>571</v>
      </c>
      <c r="E18" s="67">
        <f t="shared" si="8"/>
        <v>0.0288</v>
      </c>
      <c r="F18" s="68">
        <v>1927</v>
      </c>
      <c r="G18" s="67">
        <f t="shared" si="12"/>
        <v>0.0367</v>
      </c>
      <c r="H18" s="69">
        <v>1686</v>
      </c>
      <c r="I18" s="84">
        <f t="shared" si="13"/>
        <v>0.0422</v>
      </c>
      <c r="J18" s="85">
        <v>216</v>
      </c>
      <c r="K18" s="67">
        <f t="shared" si="14"/>
        <v>0.0244</v>
      </c>
      <c r="L18" s="86">
        <v>2600</v>
      </c>
      <c r="M18" s="87">
        <f t="shared" si="15"/>
        <v>0.086</v>
      </c>
      <c r="N18" s="71">
        <v>15561.2</v>
      </c>
      <c r="O18" s="67">
        <f t="shared" si="9"/>
        <v>0.0467</v>
      </c>
      <c r="P18" s="60">
        <v>1</v>
      </c>
      <c r="Q18" s="67">
        <f t="shared" si="16"/>
        <v>0.0667</v>
      </c>
      <c r="R18" s="27">
        <v>5</v>
      </c>
      <c r="S18" s="67">
        <f t="shared" si="17"/>
        <v>0.0305</v>
      </c>
      <c r="T18" s="60">
        <v>12000</v>
      </c>
      <c r="U18" s="67">
        <f t="shared" si="20"/>
        <v>0.2281</v>
      </c>
      <c r="V18" s="1">
        <f t="shared" si="18"/>
        <v>53.323</v>
      </c>
      <c r="W18" s="95">
        <f t="shared" si="19"/>
        <v>0.053</v>
      </c>
      <c r="X18" s="98">
        <f t="shared" si="10"/>
        <v>362.21</v>
      </c>
      <c r="Y18" s="98"/>
      <c r="Z18" s="108">
        <v>356.8512</v>
      </c>
      <c r="AA18" s="105">
        <f t="shared" si="6"/>
        <v>5.35879999999997</v>
      </c>
      <c r="AB18" s="106">
        <f t="shared" si="7"/>
        <v>1.50169034039958</v>
      </c>
      <c r="AC18" s="107"/>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c r="BI18" s="30"/>
      <c r="BJ18" s="30"/>
      <c r="BK18" s="30"/>
      <c r="BL18" s="30"/>
      <c r="BM18" s="30"/>
      <c r="BN18" s="30"/>
      <c r="BO18" s="30"/>
      <c r="BP18" s="30"/>
      <c r="BQ18" s="30"/>
      <c r="BR18" s="30"/>
      <c r="BS18" s="30"/>
      <c r="BT18" s="30"/>
      <c r="BU18" s="30"/>
      <c r="BV18" s="30"/>
      <c r="BW18" s="30"/>
      <c r="BX18" s="30"/>
      <c r="BY18" s="30"/>
      <c r="BZ18" s="30"/>
      <c r="CA18" s="30"/>
      <c r="CB18" s="30"/>
      <c r="CC18" s="30"/>
      <c r="CD18" s="30"/>
      <c r="CE18" s="30"/>
      <c r="CF18" s="30"/>
      <c r="CG18" s="30"/>
      <c r="CH18" s="30"/>
      <c r="CI18" s="30"/>
      <c r="CJ18" s="30"/>
      <c r="CK18" s="30"/>
      <c r="CL18" s="30"/>
      <c r="CM18" s="30"/>
      <c r="CN18" s="30"/>
      <c r="CO18" s="30"/>
      <c r="CP18" s="30"/>
      <c r="CQ18" s="30"/>
      <c r="CR18" s="30"/>
      <c r="CS18" s="30"/>
      <c r="CT18" s="30"/>
      <c r="CU18" s="30"/>
      <c r="CV18" s="30"/>
      <c r="CW18" s="30"/>
      <c r="CX18" s="30"/>
      <c r="CY18" s="30"/>
      <c r="CZ18" s="30"/>
      <c r="DA18" s="30"/>
      <c r="DB18" s="30"/>
      <c r="DC18" s="30"/>
      <c r="DD18" s="30"/>
      <c r="DE18" s="30"/>
      <c r="DF18" s="30"/>
      <c r="DG18" s="30"/>
      <c r="DH18" s="30"/>
      <c r="DI18" s="30"/>
      <c r="DJ18" s="30"/>
      <c r="DK18" s="30"/>
      <c r="DL18" s="30"/>
      <c r="DM18" s="30"/>
      <c r="DN18" s="30"/>
      <c r="DO18" s="30"/>
      <c r="DP18" s="30"/>
      <c r="DQ18" s="30"/>
      <c r="DR18" s="30"/>
      <c r="DS18" s="30"/>
      <c r="DT18" s="30"/>
      <c r="DU18" s="30"/>
      <c r="DV18" s="30"/>
      <c r="DW18" s="30"/>
      <c r="DX18" s="30"/>
      <c r="DY18" s="30"/>
      <c r="DZ18" s="30"/>
      <c r="EA18" s="30"/>
      <c r="EB18" s="30"/>
      <c r="EC18" s="30"/>
      <c r="ED18" s="30"/>
      <c r="EE18" s="30"/>
      <c r="EF18" s="30"/>
      <c r="EG18" s="30"/>
      <c r="EH18" s="30"/>
      <c r="EI18" s="30"/>
      <c r="EJ18" s="30"/>
      <c r="EK18" s="30"/>
      <c r="EL18" s="30"/>
      <c r="EM18" s="30"/>
      <c r="EN18" s="30"/>
      <c r="EO18" s="30"/>
      <c r="EP18" s="30"/>
      <c r="EQ18" s="30"/>
      <c r="ER18" s="30"/>
      <c r="ES18" s="30"/>
      <c r="ET18" s="30"/>
      <c r="EU18" s="30"/>
      <c r="EV18" s="30"/>
      <c r="EW18" s="30"/>
      <c r="EX18" s="30"/>
      <c r="EY18" s="30"/>
      <c r="EZ18" s="30"/>
      <c r="FA18" s="30"/>
      <c r="FB18" s="30"/>
      <c r="FC18" s="30"/>
      <c r="FD18" s="30"/>
      <c r="FE18" s="30"/>
      <c r="FF18" s="30"/>
      <c r="FG18" s="30"/>
      <c r="FH18" s="30"/>
      <c r="FI18" s="30"/>
      <c r="FJ18" s="30"/>
      <c r="FK18" s="30"/>
      <c r="FL18" s="30"/>
      <c r="FM18" s="30"/>
      <c r="FN18" s="30"/>
      <c r="FO18" s="30"/>
      <c r="FP18" s="30"/>
      <c r="FQ18" s="30"/>
      <c r="FR18" s="30"/>
      <c r="FS18" s="30"/>
      <c r="FT18" s="30"/>
      <c r="FU18" s="30"/>
      <c r="FV18" s="30"/>
      <c r="FW18" s="30"/>
      <c r="FX18" s="30"/>
      <c r="FY18" s="30"/>
      <c r="FZ18" s="30"/>
      <c r="GA18" s="30"/>
      <c r="GB18" s="30"/>
      <c r="GC18" s="30"/>
      <c r="GD18" s="30"/>
      <c r="GE18" s="30"/>
      <c r="GF18" s="30"/>
      <c r="GG18" s="30"/>
      <c r="GH18" s="30"/>
      <c r="GI18" s="30"/>
      <c r="GJ18" s="30"/>
      <c r="GK18" s="30"/>
      <c r="GL18" s="30"/>
      <c r="GM18" s="30"/>
      <c r="GN18" s="30"/>
      <c r="GO18" s="30"/>
      <c r="GP18" s="30"/>
      <c r="GQ18" s="30"/>
      <c r="GR18" s="30"/>
      <c r="GS18" s="30"/>
      <c r="GT18" s="30"/>
      <c r="GU18" s="30"/>
      <c r="GV18" s="30"/>
      <c r="GW18" s="30"/>
      <c r="GX18" s="30"/>
      <c r="GY18" s="30"/>
      <c r="GZ18" s="30"/>
      <c r="HA18" s="30"/>
      <c r="HB18" s="30"/>
      <c r="HC18" s="30"/>
      <c r="HD18" s="30"/>
      <c r="HE18" s="30"/>
      <c r="HF18" s="30"/>
      <c r="HG18" s="30"/>
      <c r="HH18" s="30"/>
      <c r="HI18" s="30"/>
      <c r="HJ18" s="30"/>
      <c r="HK18" s="30"/>
      <c r="HL18" s="30"/>
      <c r="HM18" s="30"/>
      <c r="HN18" s="30"/>
      <c r="HO18" s="30"/>
      <c r="HP18" s="30"/>
      <c r="HQ18" s="30"/>
      <c r="HR18" s="30"/>
      <c r="HS18" s="30"/>
      <c r="HT18" s="30"/>
      <c r="HU18" s="30"/>
      <c r="HV18" s="30"/>
      <c r="HW18" s="30"/>
      <c r="HX18" s="30"/>
      <c r="HY18" s="30"/>
      <c r="HZ18" s="30"/>
      <c r="IA18" s="30"/>
      <c r="IB18" s="30"/>
      <c r="IC18" s="30"/>
      <c r="ID18" s="30"/>
      <c r="IE18" s="30"/>
      <c r="IF18" s="30"/>
    </row>
    <row r="19" s="34" customFormat="1" ht="31" customHeight="1" spans="1:29">
      <c r="A19" s="27">
        <v>618001</v>
      </c>
      <c r="B19" s="27" t="s">
        <v>99</v>
      </c>
      <c r="C19" s="27">
        <f t="shared" si="11"/>
        <v>410.05</v>
      </c>
      <c r="D19" s="66">
        <v>1313</v>
      </c>
      <c r="E19" s="67">
        <f t="shared" si="8"/>
        <v>0.0663</v>
      </c>
      <c r="F19" s="68">
        <v>3431</v>
      </c>
      <c r="G19" s="67">
        <f t="shared" si="12"/>
        <v>0.0653</v>
      </c>
      <c r="H19" s="69">
        <v>1721</v>
      </c>
      <c r="I19" s="84">
        <f t="shared" si="13"/>
        <v>0.0431</v>
      </c>
      <c r="J19" s="85">
        <v>1112</v>
      </c>
      <c r="K19" s="67">
        <f t="shared" si="14"/>
        <v>0.1254</v>
      </c>
      <c r="L19" s="86">
        <v>1300</v>
      </c>
      <c r="M19" s="87">
        <f t="shared" si="15"/>
        <v>0.043</v>
      </c>
      <c r="N19" s="71">
        <v>17463.2</v>
      </c>
      <c r="O19" s="67">
        <f t="shared" si="9"/>
        <v>0.0524</v>
      </c>
      <c r="P19" s="60">
        <v>1</v>
      </c>
      <c r="Q19" s="67">
        <f t="shared" si="16"/>
        <v>0.0667</v>
      </c>
      <c r="R19" s="27">
        <v>7</v>
      </c>
      <c r="S19" s="67">
        <f t="shared" si="17"/>
        <v>0.0427</v>
      </c>
      <c r="T19" s="60">
        <v>5000</v>
      </c>
      <c r="U19" s="67">
        <f t="shared" si="20"/>
        <v>0.0951</v>
      </c>
      <c r="V19" s="1">
        <f t="shared" si="18"/>
        <v>59.704</v>
      </c>
      <c r="W19" s="95">
        <f t="shared" si="19"/>
        <v>0.06</v>
      </c>
      <c r="X19" s="98">
        <f t="shared" si="10"/>
        <v>410.05</v>
      </c>
      <c r="Y19" s="98"/>
      <c r="Z19" s="108">
        <v>388.9994</v>
      </c>
      <c r="AA19" s="105">
        <f t="shared" si="6"/>
        <v>21.0506</v>
      </c>
      <c r="AB19" s="106">
        <f t="shared" si="7"/>
        <v>5.41147364237581</v>
      </c>
      <c r="AC19" s="107"/>
    </row>
    <row r="20" s="34" customFormat="1" ht="31" customHeight="1" spans="1:29">
      <c r="A20" s="27">
        <v>619001</v>
      </c>
      <c r="B20" s="27" t="s">
        <v>100</v>
      </c>
      <c r="C20" s="27">
        <f t="shared" si="11"/>
        <v>150.35</v>
      </c>
      <c r="D20" s="66">
        <v>222</v>
      </c>
      <c r="E20" s="67">
        <f t="shared" si="8"/>
        <v>0.0112</v>
      </c>
      <c r="F20" s="68">
        <v>820</v>
      </c>
      <c r="G20" s="67">
        <f t="shared" si="12"/>
        <v>0.0156</v>
      </c>
      <c r="H20" s="69">
        <v>1136</v>
      </c>
      <c r="I20" s="84">
        <f t="shared" si="13"/>
        <v>0.0284</v>
      </c>
      <c r="J20" s="85">
        <v>127</v>
      </c>
      <c r="K20" s="67">
        <f t="shared" si="14"/>
        <v>0.0143</v>
      </c>
      <c r="L20" s="86">
        <v>1580</v>
      </c>
      <c r="M20" s="87">
        <f t="shared" si="15"/>
        <v>0.0523</v>
      </c>
      <c r="N20" s="71">
        <v>356</v>
      </c>
      <c r="O20" s="67">
        <f t="shared" si="9"/>
        <v>0.0011</v>
      </c>
      <c r="P20" s="60">
        <v>1</v>
      </c>
      <c r="Q20" s="67">
        <f t="shared" si="16"/>
        <v>0.0667</v>
      </c>
      <c r="R20" s="27">
        <v>5</v>
      </c>
      <c r="S20" s="67">
        <f t="shared" si="17"/>
        <v>0.0305</v>
      </c>
      <c r="T20" s="60">
        <v>1000</v>
      </c>
      <c r="U20" s="67">
        <f t="shared" si="20"/>
        <v>0.019</v>
      </c>
      <c r="V20" s="1">
        <f t="shared" si="18"/>
        <v>22.183</v>
      </c>
      <c r="W20" s="95">
        <f t="shared" si="19"/>
        <v>0.022</v>
      </c>
      <c r="X20" s="98">
        <f t="shared" si="10"/>
        <v>150.35</v>
      </c>
      <c r="Y20" s="98"/>
      <c r="Z20" s="108">
        <v>142.426</v>
      </c>
      <c r="AA20" s="105">
        <f t="shared" si="6"/>
        <v>7.92400000000001</v>
      </c>
      <c r="AB20" s="106">
        <f t="shared" si="7"/>
        <v>5.56359091738868</v>
      </c>
      <c r="AC20" s="107"/>
    </row>
    <row r="21" s="34" customFormat="1" ht="31" customHeight="1" spans="1:29">
      <c r="A21" s="27">
        <v>620001</v>
      </c>
      <c r="B21" s="27" t="s">
        <v>101</v>
      </c>
      <c r="C21" s="27">
        <f t="shared" si="11"/>
        <v>198.19</v>
      </c>
      <c r="D21" s="66">
        <v>398</v>
      </c>
      <c r="E21" s="67">
        <f t="shared" si="8"/>
        <v>0.0201</v>
      </c>
      <c r="F21" s="68">
        <v>1792</v>
      </c>
      <c r="G21" s="67">
        <f t="shared" si="12"/>
        <v>0.0341</v>
      </c>
      <c r="H21" s="69">
        <v>1151</v>
      </c>
      <c r="I21" s="84">
        <f t="shared" si="13"/>
        <v>0.0288</v>
      </c>
      <c r="J21" s="85">
        <v>839</v>
      </c>
      <c r="K21" s="67">
        <f t="shared" si="14"/>
        <v>0.0946</v>
      </c>
      <c r="L21" s="86">
        <v>1300</v>
      </c>
      <c r="M21" s="87">
        <f t="shared" si="15"/>
        <v>0.043</v>
      </c>
      <c r="N21" s="71">
        <v>348</v>
      </c>
      <c r="O21" s="67">
        <f t="shared" si="9"/>
        <v>0.001</v>
      </c>
      <c r="P21" s="60">
        <v>1</v>
      </c>
      <c r="Q21" s="67">
        <f t="shared" si="16"/>
        <v>0.0667</v>
      </c>
      <c r="R21" s="27">
        <v>6</v>
      </c>
      <c r="S21" s="67">
        <f t="shared" si="17"/>
        <v>0.0366</v>
      </c>
      <c r="T21" s="60">
        <v>0</v>
      </c>
      <c r="U21" s="67">
        <f t="shared" si="20"/>
        <v>0</v>
      </c>
      <c r="V21" s="1">
        <f t="shared" si="18"/>
        <v>28.613</v>
      </c>
      <c r="W21" s="95">
        <f t="shared" si="19"/>
        <v>0.029</v>
      </c>
      <c r="X21" s="98">
        <f t="shared" si="10"/>
        <v>198.19</v>
      </c>
      <c r="Y21" s="98"/>
      <c r="Z21" s="108">
        <v>173.0624</v>
      </c>
      <c r="AA21" s="105">
        <f t="shared" si="6"/>
        <v>25.1276</v>
      </c>
      <c r="AB21" s="106">
        <f t="shared" si="7"/>
        <v>14.5193872268037</v>
      </c>
      <c r="AC21" s="107"/>
    </row>
    <row r="22" s="34" customFormat="1" ht="31" customHeight="1" spans="1:29">
      <c r="A22" s="27">
        <v>621001</v>
      </c>
      <c r="B22" s="27" t="s">
        <v>102</v>
      </c>
      <c r="C22" s="27">
        <f t="shared" si="11"/>
        <v>246.03</v>
      </c>
      <c r="D22" s="66">
        <v>909</v>
      </c>
      <c r="E22" s="67">
        <f t="shared" si="8"/>
        <v>0.0459</v>
      </c>
      <c r="F22" s="68">
        <v>891</v>
      </c>
      <c r="G22" s="67">
        <f t="shared" si="12"/>
        <v>0.017</v>
      </c>
      <c r="H22" s="69">
        <v>766</v>
      </c>
      <c r="I22" s="84">
        <f t="shared" si="13"/>
        <v>0.0192</v>
      </c>
      <c r="J22" s="85">
        <v>633</v>
      </c>
      <c r="K22" s="67">
        <f t="shared" si="14"/>
        <v>0.0714</v>
      </c>
      <c r="L22" s="86">
        <v>1990</v>
      </c>
      <c r="M22" s="87">
        <f t="shared" si="15"/>
        <v>0.0659</v>
      </c>
      <c r="N22" s="71">
        <v>390</v>
      </c>
      <c r="O22" s="67">
        <f t="shared" si="9"/>
        <v>0.0012</v>
      </c>
      <c r="P22" s="60">
        <v>1</v>
      </c>
      <c r="Q22" s="67">
        <f t="shared" si="16"/>
        <v>0.0667</v>
      </c>
      <c r="R22" s="27">
        <v>7</v>
      </c>
      <c r="S22" s="67">
        <f t="shared" si="17"/>
        <v>0.0427</v>
      </c>
      <c r="T22" s="60">
        <v>4000</v>
      </c>
      <c r="U22" s="67">
        <f t="shared" si="20"/>
        <v>0.076</v>
      </c>
      <c r="V22" s="1">
        <f t="shared" si="18"/>
        <v>36.042</v>
      </c>
      <c r="W22" s="95">
        <f t="shared" si="19"/>
        <v>0.036</v>
      </c>
      <c r="X22" s="98">
        <f t="shared" si="10"/>
        <v>246.03</v>
      </c>
      <c r="Y22" s="98"/>
      <c r="Z22" s="108">
        <v>223.0057</v>
      </c>
      <c r="AA22" s="105">
        <f t="shared" si="6"/>
        <v>23.0243</v>
      </c>
      <c r="AB22" s="106">
        <f t="shared" si="7"/>
        <v>10.3245343056254</v>
      </c>
      <c r="AC22" s="107"/>
    </row>
    <row r="23" s="34" customFormat="1" ht="31" customHeight="1" spans="1:33">
      <c r="A23" s="61" t="s">
        <v>293</v>
      </c>
      <c r="B23" s="61"/>
      <c r="C23" s="62">
        <f>SUM(C24:C58)</f>
        <v>2125.4213</v>
      </c>
      <c r="D23" s="63">
        <f>SUM(D24:D58)</f>
        <v>7376</v>
      </c>
      <c r="E23" s="70">
        <f>SUM(E24:E58)</f>
        <v>0.3724</v>
      </c>
      <c r="F23" s="63">
        <f t="shared" ref="F23:K23" si="21">SUM(F24:F58)</f>
        <v>22785</v>
      </c>
      <c r="G23" s="70">
        <f t="shared" si="21"/>
        <v>0.4336</v>
      </c>
      <c r="H23" s="57">
        <f t="shared" si="21"/>
        <v>19642</v>
      </c>
      <c r="I23" s="70">
        <f t="shared" si="21"/>
        <v>0.4918</v>
      </c>
      <c r="J23" s="89">
        <f t="shared" si="21"/>
        <v>545</v>
      </c>
      <c r="K23" s="70">
        <f t="shared" ref="K23:P23" si="22">ROUND(J23/$J$7,4)</f>
        <v>0.0615</v>
      </c>
      <c r="L23" s="90">
        <v>14</v>
      </c>
      <c r="M23" s="70">
        <f>ROUND(L23/$J$7,4)</f>
        <v>0.0016</v>
      </c>
      <c r="N23" s="63">
        <f t="shared" ref="N23:S23" si="23">SUM(N24:N58)</f>
        <v>160845.93728</v>
      </c>
      <c r="O23" s="70">
        <f t="shared" si="23"/>
        <v>0.4825</v>
      </c>
      <c r="P23" s="70">
        <f>ROUND(O23/$J$7,4)</f>
        <v>0.0001</v>
      </c>
      <c r="Q23" s="67">
        <f t="shared" si="16"/>
        <v>0</v>
      </c>
      <c r="R23" s="63">
        <f>SUM(R24:R58)</f>
        <v>80</v>
      </c>
      <c r="S23" s="67">
        <f t="shared" si="17"/>
        <v>0.4878</v>
      </c>
      <c r="T23" s="63">
        <f t="shared" ref="T23:X23" si="24">SUM(T24:T58)</f>
        <v>4000</v>
      </c>
      <c r="U23" s="70">
        <f t="shared" si="24"/>
        <v>0.076</v>
      </c>
      <c r="V23" s="1">
        <f t="shared" si="18"/>
        <v>310.225</v>
      </c>
      <c r="W23" s="55">
        <f t="shared" ref="W23:Z23" si="25">SUM(W24:W58)</f>
        <v>0.311</v>
      </c>
      <c r="X23" s="62">
        <f t="shared" si="25"/>
        <v>2125.4213</v>
      </c>
      <c r="Y23" s="62"/>
      <c r="Z23" s="62">
        <f>SUM(Z24:Z58)</f>
        <v>1865.709</v>
      </c>
      <c r="AA23" s="105">
        <f t="shared" si="6"/>
        <v>259.7123</v>
      </c>
      <c r="AB23" s="106">
        <f t="shared" si="7"/>
        <v>13.920300539902</v>
      </c>
      <c r="AD23" s="105" t="s">
        <v>330</v>
      </c>
      <c r="AE23" s="109" t="s">
        <v>331</v>
      </c>
      <c r="AF23" s="109" t="s">
        <v>332</v>
      </c>
      <c r="AG23" s="109" t="s">
        <v>307</v>
      </c>
    </row>
    <row r="24" s="35" customFormat="1" ht="31" customHeight="1" spans="1:33">
      <c r="A24" s="27">
        <v>604008</v>
      </c>
      <c r="B24" s="27" t="s">
        <v>103</v>
      </c>
      <c r="C24" s="27">
        <f t="shared" ref="C24:C41" si="26">X24</f>
        <v>6.8342</v>
      </c>
      <c r="D24" s="66">
        <v>34</v>
      </c>
      <c r="E24" s="67">
        <f t="shared" ref="E24:E58" si="27">ROUND(D24/$D$7,4)</f>
        <v>0.0017</v>
      </c>
      <c r="F24" s="27">
        <v>7</v>
      </c>
      <c r="G24" s="67">
        <f t="shared" ref="G24:G41" si="28">ROUND(F24/$F$7,4)</f>
        <v>0.0001</v>
      </c>
      <c r="H24" s="71">
        <v>31</v>
      </c>
      <c r="I24" s="84">
        <f t="shared" ref="I24:I41" si="29">ROUND(H24/$H$7,4)</f>
        <v>0.0008</v>
      </c>
      <c r="J24" s="85">
        <v>1</v>
      </c>
      <c r="K24" s="67">
        <f t="shared" ref="K24:K41" si="30">ROUND(J24/$J$7,4)</f>
        <v>0.0001</v>
      </c>
      <c r="L24" s="91">
        <v>0</v>
      </c>
      <c r="M24" s="87">
        <f t="shared" ref="M24:M41" si="31">ROUND(L24/$L$7,4)</f>
        <v>0</v>
      </c>
      <c r="N24" s="71">
        <v>371.97438</v>
      </c>
      <c r="O24" s="67">
        <f t="shared" ref="O24:O58" si="32">ROUND(N24/$N$7,4)</f>
        <v>0.0011</v>
      </c>
      <c r="P24" s="60">
        <v>0</v>
      </c>
      <c r="Q24" s="67">
        <f t="shared" si="16"/>
        <v>0</v>
      </c>
      <c r="R24" s="27">
        <v>2</v>
      </c>
      <c r="S24" s="67">
        <f t="shared" si="17"/>
        <v>0.0122</v>
      </c>
      <c r="T24" s="60">
        <v>0</v>
      </c>
      <c r="U24" s="67">
        <f t="shared" ref="U24:U42" si="33">ROUND(T24/$T$7,4)</f>
        <v>0</v>
      </c>
      <c r="V24" s="1">
        <f t="shared" si="18"/>
        <v>1.04</v>
      </c>
      <c r="W24" s="95">
        <f t="shared" ref="W24:W41" si="34">ROUND(V24/$V$7,3)</f>
        <v>0.001</v>
      </c>
      <c r="X24" s="99">
        <f t="shared" ref="X24:X58" si="35">ROUND(6834.15*W24,4)</f>
        <v>6.8342</v>
      </c>
      <c r="Y24" s="99"/>
      <c r="Z24" s="108">
        <v>15.4265</v>
      </c>
      <c r="AA24" s="105">
        <f t="shared" si="6"/>
        <v>-8.5923</v>
      </c>
      <c r="AB24" s="106">
        <f t="shared" si="7"/>
        <v>-55.6983113473568</v>
      </c>
      <c r="AD24" s="27" t="s">
        <v>103</v>
      </c>
      <c r="AE24" s="109">
        <v>7.9</v>
      </c>
      <c r="AF24" s="110">
        <f>Z24-AE24</f>
        <v>7.5265</v>
      </c>
      <c r="AG24" s="110">
        <f>(X24-AF24)*100/AF24</f>
        <v>-9.19816647844284</v>
      </c>
    </row>
    <row r="25" s="34" customFormat="1" ht="31" customHeight="1" spans="1:33">
      <c r="A25" s="27">
        <v>606006</v>
      </c>
      <c r="B25" s="27" t="s">
        <v>104</v>
      </c>
      <c r="C25" s="27">
        <f t="shared" si="26"/>
        <v>34.1708</v>
      </c>
      <c r="D25" s="66">
        <v>55</v>
      </c>
      <c r="E25" s="67">
        <f t="shared" si="27"/>
        <v>0.0028</v>
      </c>
      <c r="F25" s="27">
        <v>303</v>
      </c>
      <c r="G25" s="67">
        <f t="shared" si="28"/>
        <v>0.0058</v>
      </c>
      <c r="H25" s="72">
        <v>337</v>
      </c>
      <c r="I25" s="84">
        <f t="shared" si="29"/>
        <v>0.0084</v>
      </c>
      <c r="J25" s="85">
        <v>2</v>
      </c>
      <c r="K25" s="67">
        <f t="shared" si="30"/>
        <v>0.0002</v>
      </c>
      <c r="L25" s="91">
        <v>0</v>
      </c>
      <c r="M25" s="87">
        <f t="shared" si="31"/>
        <v>0</v>
      </c>
      <c r="N25" s="72">
        <v>2782.1297</v>
      </c>
      <c r="O25" s="67">
        <f t="shared" si="32"/>
        <v>0.0083</v>
      </c>
      <c r="P25" s="60">
        <v>0</v>
      </c>
      <c r="Q25" s="67">
        <f t="shared" si="16"/>
        <v>0</v>
      </c>
      <c r="R25" s="27">
        <v>4</v>
      </c>
      <c r="S25" s="67">
        <f t="shared" si="17"/>
        <v>0.0244</v>
      </c>
      <c r="T25" s="60">
        <v>0</v>
      </c>
      <c r="U25" s="67">
        <f t="shared" si="33"/>
        <v>0</v>
      </c>
      <c r="V25" s="1">
        <f t="shared" si="18"/>
        <v>4.754</v>
      </c>
      <c r="W25" s="95">
        <f t="shared" si="34"/>
        <v>0.005</v>
      </c>
      <c r="X25" s="99">
        <f t="shared" si="35"/>
        <v>34.1708</v>
      </c>
      <c r="Y25" s="99"/>
      <c r="Z25" s="108">
        <v>38.2915</v>
      </c>
      <c r="AA25" s="105">
        <f t="shared" si="6"/>
        <v>-4.1207</v>
      </c>
      <c r="AB25" s="106">
        <f t="shared" si="7"/>
        <v>-10.7613961323009</v>
      </c>
      <c r="AD25" s="27" t="s">
        <v>104</v>
      </c>
      <c r="AE25" s="109">
        <v>16.5</v>
      </c>
      <c r="AF25" s="110">
        <f t="shared" ref="AF25:AF58" si="36">Z25-AE25</f>
        <v>21.7915</v>
      </c>
      <c r="AG25" s="110">
        <f t="shared" ref="AG25:AG58" si="37">(X25-AF25)*100/AF25</f>
        <v>56.8079296973591</v>
      </c>
    </row>
    <row r="26" s="34" customFormat="1" ht="31" customHeight="1" spans="1:33">
      <c r="A26" s="27">
        <v>606007</v>
      </c>
      <c r="B26" s="27" t="s">
        <v>105</v>
      </c>
      <c r="C26" s="27">
        <f t="shared" si="26"/>
        <v>20.5025</v>
      </c>
      <c r="D26" s="66">
        <v>36</v>
      </c>
      <c r="E26" s="67">
        <f t="shared" si="27"/>
        <v>0.0018</v>
      </c>
      <c r="F26" s="27">
        <v>188</v>
      </c>
      <c r="G26" s="67">
        <f t="shared" si="28"/>
        <v>0.0036</v>
      </c>
      <c r="H26" s="72">
        <v>173</v>
      </c>
      <c r="I26" s="84">
        <f t="shared" si="29"/>
        <v>0.0043</v>
      </c>
      <c r="J26" s="85">
        <v>1</v>
      </c>
      <c r="K26" s="67">
        <f t="shared" si="30"/>
        <v>0.0001</v>
      </c>
      <c r="L26" s="91">
        <v>0</v>
      </c>
      <c r="M26" s="87">
        <f t="shared" si="31"/>
        <v>0</v>
      </c>
      <c r="N26" s="72">
        <v>1401.89632</v>
      </c>
      <c r="O26" s="67">
        <f t="shared" si="32"/>
        <v>0.0042</v>
      </c>
      <c r="P26" s="60">
        <v>0</v>
      </c>
      <c r="Q26" s="67">
        <f t="shared" si="16"/>
        <v>0</v>
      </c>
      <c r="R26" s="27">
        <v>3</v>
      </c>
      <c r="S26" s="67">
        <f t="shared" si="17"/>
        <v>0.0183</v>
      </c>
      <c r="T26" s="60">
        <v>0</v>
      </c>
      <c r="U26" s="67">
        <f t="shared" si="33"/>
        <v>0</v>
      </c>
      <c r="V26" s="1">
        <f t="shared" si="18"/>
        <v>2.765</v>
      </c>
      <c r="W26" s="95">
        <f t="shared" si="34"/>
        <v>0.003</v>
      </c>
      <c r="X26" s="99">
        <f t="shared" si="35"/>
        <v>20.5025</v>
      </c>
      <c r="Y26" s="99"/>
      <c r="Z26" s="108">
        <v>25.667</v>
      </c>
      <c r="AA26" s="105">
        <f t="shared" si="6"/>
        <v>-5.1645</v>
      </c>
      <c r="AB26" s="106">
        <f t="shared" si="7"/>
        <v>-20.1211672575681</v>
      </c>
      <c r="AD26" s="27" t="s">
        <v>105</v>
      </c>
      <c r="AE26" s="109">
        <v>13.3</v>
      </c>
      <c r="AF26" s="110">
        <f t="shared" si="36"/>
        <v>12.367</v>
      </c>
      <c r="AG26" s="110">
        <f t="shared" si="37"/>
        <v>65.7839411336622</v>
      </c>
    </row>
    <row r="27" s="34" customFormat="1" ht="31" customHeight="1" spans="1:33">
      <c r="A27" s="27">
        <v>606011</v>
      </c>
      <c r="B27" s="27" t="s">
        <v>106</v>
      </c>
      <c r="C27" s="27">
        <f t="shared" si="26"/>
        <v>27.3366</v>
      </c>
      <c r="D27" s="66">
        <v>71</v>
      </c>
      <c r="E27" s="67">
        <f t="shared" si="27"/>
        <v>0.0036</v>
      </c>
      <c r="F27" s="27">
        <v>203</v>
      </c>
      <c r="G27" s="67">
        <f t="shared" si="28"/>
        <v>0.0039</v>
      </c>
      <c r="H27" s="72">
        <v>153</v>
      </c>
      <c r="I27" s="84">
        <f t="shared" si="29"/>
        <v>0.0038</v>
      </c>
      <c r="J27" s="85">
        <v>2</v>
      </c>
      <c r="K27" s="67">
        <f t="shared" si="30"/>
        <v>0.0002</v>
      </c>
      <c r="L27" s="91">
        <v>0</v>
      </c>
      <c r="M27" s="87">
        <f t="shared" si="31"/>
        <v>0</v>
      </c>
      <c r="N27" s="72">
        <v>2873.34636</v>
      </c>
      <c r="O27" s="67">
        <f t="shared" si="32"/>
        <v>0.0086</v>
      </c>
      <c r="P27" s="60">
        <v>0</v>
      </c>
      <c r="Q27" s="67">
        <f t="shared" si="16"/>
        <v>0</v>
      </c>
      <c r="R27" s="27">
        <v>2</v>
      </c>
      <c r="S27" s="67">
        <f t="shared" si="17"/>
        <v>0.0122</v>
      </c>
      <c r="T27" s="60">
        <v>0</v>
      </c>
      <c r="U27" s="67">
        <f t="shared" si="33"/>
        <v>0</v>
      </c>
      <c r="V27" s="1">
        <f t="shared" si="18"/>
        <v>3.915</v>
      </c>
      <c r="W27" s="95">
        <f t="shared" si="34"/>
        <v>0.004</v>
      </c>
      <c r="X27" s="99">
        <f t="shared" si="35"/>
        <v>27.3366</v>
      </c>
      <c r="Y27" s="99"/>
      <c r="Z27" s="108">
        <v>23.7275</v>
      </c>
      <c r="AA27" s="105">
        <f t="shared" si="6"/>
        <v>3.6091</v>
      </c>
      <c r="AB27" s="106">
        <f t="shared" si="7"/>
        <v>15.2106205879254</v>
      </c>
      <c r="AD27" s="27" t="s">
        <v>106</v>
      </c>
      <c r="AE27" s="109">
        <v>11.1</v>
      </c>
      <c r="AF27" s="110">
        <f t="shared" si="36"/>
        <v>12.6275</v>
      </c>
      <c r="AG27" s="110">
        <f t="shared" si="37"/>
        <v>116.484656503663</v>
      </c>
    </row>
    <row r="28" s="34" customFormat="1" ht="31" customHeight="1" spans="1:33">
      <c r="A28" s="27">
        <v>606009</v>
      </c>
      <c r="B28" s="27" t="s">
        <v>107</v>
      </c>
      <c r="C28" s="27">
        <f t="shared" si="26"/>
        <v>20.5025</v>
      </c>
      <c r="D28" s="66">
        <v>54</v>
      </c>
      <c r="E28" s="67">
        <f t="shared" si="27"/>
        <v>0.0027</v>
      </c>
      <c r="F28" s="27">
        <v>255</v>
      </c>
      <c r="G28" s="67">
        <f t="shared" si="28"/>
        <v>0.0049</v>
      </c>
      <c r="H28" s="72">
        <v>286</v>
      </c>
      <c r="I28" s="84">
        <f t="shared" si="29"/>
        <v>0.0072</v>
      </c>
      <c r="J28" s="85">
        <v>1</v>
      </c>
      <c r="K28" s="67">
        <f t="shared" si="30"/>
        <v>0.0001</v>
      </c>
      <c r="L28" s="91">
        <v>0</v>
      </c>
      <c r="M28" s="87">
        <f t="shared" si="31"/>
        <v>0</v>
      </c>
      <c r="N28" s="72">
        <v>1467.01054</v>
      </c>
      <c r="O28" s="67">
        <f t="shared" si="32"/>
        <v>0.0044</v>
      </c>
      <c r="P28" s="60">
        <v>0</v>
      </c>
      <c r="Q28" s="67">
        <f t="shared" si="16"/>
        <v>0</v>
      </c>
      <c r="R28" s="27">
        <v>2</v>
      </c>
      <c r="S28" s="67">
        <f t="shared" si="17"/>
        <v>0.0122</v>
      </c>
      <c r="T28" s="60">
        <v>0</v>
      </c>
      <c r="U28" s="67">
        <f t="shared" si="33"/>
        <v>0</v>
      </c>
      <c r="V28" s="1">
        <f t="shared" si="18"/>
        <v>3.262</v>
      </c>
      <c r="W28" s="95">
        <f t="shared" si="34"/>
        <v>0.003</v>
      </c>
      <c r="X28" s="99">
        <f t="shared" si="35"/>
        <v>20.5025</v>
      </c>
      <c r="Y28" s="99"/>
      <c r="Z28" s="108">
        <v>29.9855</v>
      </c>
      <c r="AA28" s="105">
        <f t="shared" si="6"/>
        <v>-9.483</v>
      </c>
      <c r="AB28" s="106">
        <f t="shared" si="7"/>
        <v>-31.6252855546848</v>
      </c>
      <c r="AD28" s="27" t="s">
        <v>107</v>
      </c>
      <c r="AE28" s="109">
        <v>10.5</v>
      </c>
      <c r="AF28" s="110">
        <f t="shared" si="36"/>
        <v>19.4855</v>
      </c>
      <c r="AG28" s="110">
        <f t="shared" si="37"/>
        <v>5.21926560775963</v>
      </c>
    </row>
    <row r="29" s="34" customFormat="1" ht="31" customHeight="1" spans="1:33">
      <c r="A29" s="27">
        <v>607006</v>
      </c>
      <c r="B29" s="27" t="s">
        <v>108</v>
      </c>
      <c r="C29" s="27">
        <f t="shared" si="26"/>
        <v>54.6732</v>
      </c>
      <c r="D29" s="66">
        <v>64</v>
      </c>
      <c r="E29" s="67">
        <f t="shared" si="27"/>
        <v>0.0032</v>
      </c>
      <c r="F29" s="27">
        <v>616</v>
      </c>
      <c r="G29" s="67">
        <f t="shared" si="28"/>
        <v>0.0117</v>
      </c>
      <c r="H29" s="72">
        <v>573</v>
      </c>
      <c r="I29" s="84">
        <f t="shared" si="29"/>
        <v>0.0143</v>
      </c>
      <c r="J29" s="85">
        <v>1</v>
      </c>
      <c r="K29" s="67">
        <f t="shared" si="30"/>
        <v>0.0001</v>
      </c>
      <c r="L29" s="91">
        <v>0</v>
      </c>
      <c r="M29" s="87">
        <f t="shared" si="31"/>
        <v>0</v>
      </c>
      <c r="N29" s="72">
        <v>5462.1615</v>
      </c>
      <c r="O29" s="67">
        <f t="shared" si="32"/>
        <v>0.0164</v>
      </c>
      <c r="P29" s="60">
        <v>0</v>
      </c>
      <c r="Q29" s="67">
        <f t="shared" si="16"/>
        <v>0</v>
      </c>
      <c r="R29" s="27">
        <v>2</v>
      </c>
      <c r="S29" s="67">
        <f t="shared" si="17"/>
        <v>0.0122</v>
      </c>
      <c r="T29" s="60">
        <v>0</v>
      </c>
      <c r="U29" s="67">
        <f t="shared" si="33"/>
        <v>0</v>
      </c>
      <c r="V29" s="1">
        <f t="shared" si="18"/>
        <v>7.661</v>
      </c>
      <c r="W29" s="95">
        <f t="shared" si="34"/>
        <v>0.008</v>
      </c>
      <c r="X29" s="99">
        <f t="shared" si="35"/>
        <v>54.6732</v>
      </c>
      <c r="Y29" s="99"/>
      <c r="Z29" s="108">
        <v>40.113</v>
      </c>
      <c r="AA29" s="105">
        <f t="shared" si="6"/>
        <v>14.5602</v>
      </c>
      <c r="AB29" s="106">
        <f t="shared" si="7"/>
        <v>36.2979582678932</v>
      </c>
      <c r="AD29" s="27" t="s">
        <v>108</v>
      </c>
      <c r="AE29" s="109">
        <v>16.5</v>
      </c>
      <c r="AF29" s="110">
        <f t="shared" si="36"/>
        <v>23.613</v>
      </c>
      <c r="AG29" s="110">
        <f t="shared" si="37"/>
        <v>131.5385592682</v>
      </c>
    </row>
    <row r="30" s="34" customFormat="1" ht="31" customHeight="1" spans="1:33">
      <c r="A30" s="27">
        <v>607005</v>
      </c>
      <c r="B30" s="27" t="s">
        <v>109</v>
      </c>
      <c r="C30" s="27">
        <f t="shared" si="26"/>
        <v>54.6732</v>
      </c>
      <c r="D30" s="66">
        <v>127</v>
      </c>
      <c r="E30" s="67">
        <f t="shared" si="27"/>
        <v>0.0064</v>
      </c>
      <c r="F30" s="27">
        <v>707</v>
      </c>
      <c r="G30" s="67">
        <f t="shared" si="28"/>
        <v>0.0135</v>
      </c>
      <c r="H30" s="72">
        <v>692</v>
      </c>
      <c r="I30" s="84">
        <f t="shared" si="29"/>
        <v>0.0173</v>
      </c>
      <c r="J30" s="85">
        <v>1</v>
      </c>
      <c r="K30" s="67">
        <f t="shared" si="30"/>
        <v>0.0001</v>
      </c>
      <c r="L30" s="91">
        <v>0</v>
      </c>
      <c r="M30" s="87">
        <f t="shared" si="31"/>
        <v>0</v>
      </c>
      <c r="N30" s="72">
        <v>3497.17</v>
      </c>
      <c r="O30" s="67">
        <f t="shared" si="32"/>
        <v>0.0105</v>
      </c>
      <c r="P30" s="60">
        <v>0</v>
      </c>
      <c r="Q30" s="67">
        <f t="shared" si="16"/>
        <v>0</v>
      </c>
      <c r="R30" s="27">
        <v>2</v>
      </c>
      <c r="S30" s="67">
        <f t="shared" si="17"/>
        <v>0.0122</v>
      </c>
      <c r="T30" s="60">
        <v>0</v>
      </c>
      <c r="U30" s="67">
        <f t="shared" si="33"/>
        <v>0</v>
      </c>
      <c r="V30" s="1">
        <f t="shared" si="18"/>
        <v>7.543</v>
      </c>
      <c r="W30" s="95">
        <f t="shared" si="34"/>
        <v>0.008</v>
      </c>
      <c r="X30" s="99">
        <f t="shared" si="35"/>
        <v>54.6732</v>
      </c>
      <c r="Y30" s="99"/>
      <c r="Z30" s="108">
        <v>48.981</v>
      </c>
      <c r="AA30" s="105">
        <f t="shared" si="6"/>
        <v>5.6922</v>
      </c>
      <c r="AB30" s="106">
        <f t="shared" si="7"/>
        <v>11.6212408893244</v>
      </c>
      <c r="AD30" s="27" t="s">
        <v>109</v>
      </c>
      <c r="AE30" s="109">
        <v>21.9</v>
      </c>
      <c r="AF30" s="110">
        <f t="shared" si="36"/>
        <v>27.081</v>
      </c>
      <c r="AG30" s="110">
        <f t="shared" si="37"/>
        <v>101.887670322366</v>
      </c>
    </row>
    <row r="31" s="34" customFormat="1" ht="31" customHeight="1" spans="1:33">
      <c r="A31" s="27">
        <v>607007</v>
      </c>
      <c r="B31" s="27" t="s">
        <v>110</v>
      </c>
      <c r="C31" s="27">
        <f t="shared" si="26"/>
        <v>27.3366</v>
      </c>
      <c r="D31" s="66">
        <v>43</v>
      </c>
      <c r="E31" s="67">
        <f t="shared" si="27"/>
        <v>0.0022</v>
      </c>
      <c r="F31" s="27">
        <v>194</v>
      </c>
      <c r="G31" s="67">
        <f t="shared" si="28"/>
        <v>0.0037</v>
      </c>
      <c r="H31" s="72">
        <v>275</v>
      </c>
      <c r="I31" s="84">
        <f t="shared" si="29"/>
        <v>0.0069</v>
      </c>
      <c r="J31" s="85">
        <v>1</v>
      </c>
      <c r="K31" s="67">
        <f t="shared" si="30"/>
        <v>0.0001</v>
      </c>
      <c r="L31" s="91">
        <v>0</v>
      </c>
      <c r="M31" s="87">
        <f t="shared" si="31"/>
        <v>0</v>
      </c>
      <c r="N31" s="72">
        <v>2444.40095</v>
      </c>
      <c r="O31" s="67">
        <f t="shared" si="32"/>
        <v>0.0073</v>
      </c>
      <c r="P31" s="60">
        <v>0</v>
      </c>
      <c r="Q31" s="67">
        <f t="shared" si="16"/>
        <v>0</v>
      </c>
      <c r="R31" s="27">
        <v>3</v>
      </c>
      <c r="S31" s="67">
        <f t="shared" si="17"/>
        <v>0.0183</v>
      </c>
      <c r="T31" s="60">
        <v>0</v>
      </c>
      <c r="U31" s="67">
        <f t="shared" si="33"/>
        <v>0</v>
      </c>
      <c r="V31" s="1">
        <f t="shared" si="18"/>
        <v>3.776</v>
      </c>
      <c r="W31" s="95">
        <f t="shared" si="34"/>
        <v>0.004</v>
      </c>
      <c r="X31" s="99">
        <f t="shared" si="35"/>
        <v>27.3366</v>
      </c>
      <c r="Y31" s="99"/>
      <c r="Z31" s="108">
        <v>37.117</v>
      </c>
      <c r="AA31" s="105">
        <f t="shared" si="6"/>
        <v>-9.7804</v>
      </c>
      <c r="AB31" s="106">
        <f t="shared" si="7"/>
        <v>-26.3501899399197</v>
      </c>
      <c r="AD31" s="27" t="s">
        <v>110</v>
      </c>
      <c r="AE31" s="109">
        <v>14.1</v>
      </c>
      <c r="AF31" s="110">
        <f t="shared" si="36"/>
        <v>23.017</v>
      </c>
      <c r="AG31" s="110">
        <f t="shared" si="37"/>
        <v>18.7669983056002</v>
      </c>
    </row>
    <row r="32" s="34" customFormat="1" ht="31" customHeight="1" spans="1:33">
      <c r="A32" s="27">
        <v>608003</v>
      </c>
      <c r="B32" s="27" t="s">
        <v>111</v>
      </c>
      <c r="C32" s="27">
        <f t="shared" si="26"/>
        <v>68.3415</v>
      </c>
      <c r="D32" s="66">
        <v>90</v>
      </c>
      <c r="E32" s="67">
        <f t="shared" si="27"/>
        <v>0.0045</v>
      </c>
      <c r="F32" s="27">
        <v>953</v>
      </c>
      <c r="G32" s="67">
        <f t="shared" si="28"/>
        <v>0.0181</v>
      </c>
      <c r="H32" s="72">
        <v>591</v>
      </c>
      <c r="I32" s="84">
        <f t="shared" si="29"/>
        <v>0.0148</v>
      </c>
      <c r="J32" s="85">
        <v>2</v>
      </c>
      <c r="K32" s="67">
        <f t="shared" si="30"/>
        <v>0.0002</v>
      </c>
      <c r="L32" s="91">
        <v>0</v>
      </c>
      <c r="M32" s="87">
        <f t="shared" si="31"/>
        <v>0</v>
      </c>
      <c r="N32" s="72">
        <v>7007.42163</v>
      </c>
      <c r="O32" s="67">
        <f t="shared" si="32"/>
        <v>0.021</v>
      </c>
      <c r="P32" s="60">
        <v>0</v>
      </c>
      <c r="Q32" s="67">
        <f t="shared" si="16"/>
        <v>0</v>
      </c>
      <c r="R32" s="27">
        <v>3</v>
      </c>
      <c r="S32" s="67">
        <f t="shared" si="17"/>
        <v>0.0183</v>
      </c>
      <c r="T32" s="60">
        <v>0</v>
      </c>
      <c r="U32" s="67">
        <f t="shared" si="33"/>
        <v>0</v>
      </c>
      <c r="V32" s="1">
        <f t="shared" si="18"/>
        <v>10.126</v>
      </c>
      <c r="W32" s="95">
        <f t="shared" si="34"/>
        <v>0.01</v>
      </c>
      <c r="X32" s="99">
        <f t="shared" si="35"/>
        <v>68.3415</v>
      </c>
      <c r="Y32" s="99"/>
      <c r="Z32" s="108">
        <v>54.5255</v>
      </c>
      <c r="AA32" s="105">
        <f t="shared" si="6"/>
        <v>13.816</v>
      </c>
      <c r="AB32" s="106">
        <f t="shared" si="7"/>
        <v>25.3386030389451</v>
      </c>
      <c r="AD32" s="27" t="s">
        <v>111</v>
      </c>
      <c r="AE32" s="109">
        <v>17.7</v>
      </c>
      <c r="AF32" s="110">
        <f t="shared" si="36"/>
        <v>36.8255</v>
      </c>
      <c r="AG32" s="110">
        <f t="shared" si="37"/>
        <v>85.5820016021506</v>
      </c>
    </row>
    <row r="33" s="34" customFormat="1" ht="31" customHeight="1" spans="1:33">
      <c r="A33" s="27">
        <v>608009</v>
      </c>
      <c r="B33" s="27" t="s">
        <v>112</v>
      </c>
      <c r="C33" s="27">
        <f t="shared" si="26"/>
        <v>54.6732</v>
      </c>
      <c r="D33" s="66">
        <v>84</v>
      </c>
      <c r="E33" s="67">
        <f t="shared" si="27"/>
        <v>0.0042</v>
      </c>
      <c r="F33" s="27">
        <v>1099</v>
      </c>
      <c r="G33" s="67">
        <f t="shared" si="28"/>
        <v>0.0209</v>
      </c>
      <c r="H33" s="72">
        <v>661</v>
      </c>
      <c r="I33" s="84">
        <f t="shared" si="29"/>
        <v>0.0165</v>
      </c>
      <c r="J33" s="85">
        <v>1</v>
      </c>
      <c r="K33" s="67">
        <f t="shared" si="30"/>
        <v>0.0001</v>
      </c>
      <c r="L33" s="91">
        <v>0</v>
      </c>
      <c r="M33" s="87">
        <f t="shared" si="31"/>
        <v>0</v>
      </c>
      <c r="N33" s="72">
        <v>2670.63108</v>
      </c>
      <c r="O33" s="67">
        <f t="shared" si="32"/>
        <v>0.008</v>
      </c>
      <c r="P33" s="60">
        <v>0</v>
      </c>
      <c r="Q33" s="67">
        <f t="shared" si="16"/>
        <v>0</v>
      </c>
      <c r="R33" s="27">
        <v>2</v>
      </c>
      <c r="S33" s="67">
        <f t="shared" si="17"/>
        <v>0.0122</v>
      </c>
      <c r="T33" s="60">
        <v>0</v>
      </c>
      <c r="U33" s="67">
        <f t="shared" si="33"/>
        <v>0</v>
      </c>
      <c r="V33" s="1">
        <f t="shared" si="18"/>
        <v>7.591</v>
      </c>
      <c r="W33" s="95">
        <f t="shared" si="34"/>
        <v>0.008</v>
      </c>
      <c r="X33" s="99">
        <f t="shared" si="35"/>
        <v>54.6732</v>
      </c>
      <c r="Y33" s="99"/>
      <c r="Z33" s="108">
        <v>45.301</v>
      </c>
      <c r="AA33" s="105">
        <f t="shared" si="6"/>
        <v>9.3722</v>
      </c>
      <c r="AB33" s="106">
        <f t="shared" si="7"/>
        <v>20.6887265181784</v>
      </c>
      <c r="AD33" s="27" t="s">
        <v>112</v>
      </c>
      <c r="AE33" s="109">
        <v>16.5</v>
      </c>
      <c r="AF33" s="110">
        <f t="shared" si="36"/>
        <v>28.801</v>
      </c>
      <c r="AG33" s="110">
        <f t="shared" si="37"/>
        <v>89.8309086490052</v>
      </c>
    </row>
    <row r="34" s="34" customFormat="1" ht="31" customHeight="1" spans="1:33">
      <c r="A34" s="27">
        <v>608008</v>
      </c>
      <c r="B34" s="27" t="s">
        <v>113</v>
      </c>
      <c r="C34" s="27">
        <f t="shared" si="26"/>
        <v>34.1708</v>
      </c>
      <c r="D34" s="66">
        <v>30</v>
      </c>
      <c r="E34" s="67">
        <f t="shared" si="27"/>
        <v>0.0015</v>
      </c>
      <c r="F34" s="27">
        <v>454</v>
      </c>
      <c r="G34" s="67">
        <f t="shared" si="28"/>
        <v>0.0086</v>
      </c>
      <c r="H34" s="72">
        <v>340</v>
      </c>
      <c r="I34" s="84">
        <f t="shared" si="29"/>
        <v>0.0085</v>
      </c>
      <c r="J34" s="85">
        <v>1</v>
      </c>
      <c r="K34" s="67">
        <f t="shared" si="30"/>
        <v>0.0001</v>
      </c>
      <c r="L34" s="91">
        <v>0</v>
      </c>
      <c r="M34" s="87">
        <f t="shared" si="31"/>
        <v>0</v>
      </c>
      <c r="N34" s="72">
        <v>3199.55256</v>
      </c>
      <c r="O34" s="67">
        <f t="shared" si="32"/>
        <v>0.0096</v>
      </c>
      <c r="P34" s="60">
        <v>0</v>
      </c>
      <c r="Q34" s="67">
        <f t="shared" si="16"/>
        <v>0</v>
      </c>
      <c r="R34" s="27">
        <v>2</v>
      </c>
      <c r="S34" s="67">
        <f t="shared" si="17"/>
        <v>0.0122</v>
      </c>
      <c r="T34" s="60">
        <v>0</v>
      </c>
      <c r="U34" s="67">
        <f t="shared" si="33"/>
        <v>0</v>
      </c>
      <c r="V34" s="1">
        <f t="shared" si="18"/>
        <v>4.838</v>
      </c>
      <c r="W34" s="95">
        <f t="shared" si="34"/>
        <v>0.005</v>
      </c>
      <c r="X34" s="99">
        <f t="shared" si="35"/>
        <v>34.1708</v>
      </c>
      <c r="Y34" s="99"/>
      <c r="Z34" s="108">
        <v>35.885</v>
      </c>
      <c r="AA34" s="105">
        <f t="shared" si="6"/>
        <v>-1.7142</v>
      </c>
      <c r="AB34" s="106">
        <f t="shared" si="7"/>
        <v>-4.77692629232269</v>
      </c>
      <c r="AD34" s="27" t="s">
        <v>113</v>
      </c>
      <c r="AE34" s="109">
        <v>17.7</v>
      </c>
      <c r="AF34" s="110">
        <f t="shared" si="36"/>
        <v>18.185</v>
      </c>
      <c r="AG34" s="110">
        <f t="shared" si="37"/>
        <v>87.9065163596371</v>
      </c>
    </row>
    <row r="35" s="34" customFormat="1" ht="31" customHeight="1" spans="1:33">
      <c r="A35" s="27">
        <v>608007</v>
      </c>
      <c r="B35" s="27" t="s">
        <v>114</v>
      </c>
      <c r="C35" s="27">
        <f t="shared" si="26"/>
        <v>47.8391</v>
      </c>
      <c r="D35" s="66">
        <v>28</v>
      </c>
      <c r="E35" s="67">
        <f t="shared" si="27"/>
        <v>0.0014</v>
      </c>
      <c r="F35" s="27">
        <v>392</v>
      </c>
      <c r="G35" s="67">
        <f t="shared" si="28"/>
        <v>0.0075</v>
      </c>
      <c r="H35" s="72">
        <v>289</v>
      </c>
      <c r="I35" s="84">
        <f t="shared" si="29"/>
        <v>0.0072</v>
      </c>
      <c r="J35" s="85">
        <v>1</v>
      </c>
      <c r="K35" s="67">
        <f t="shared" si="30"/>
        <v>0.0001</v>
      </c>
      <c r="L35" s="91">
        <v>0</v>
      </c>
      <c r="M35" s="87">
        <f t="shared" si="31"/>
        <v>0</v>
      </c>
      <c r="N35" s="72">
        <v>6425.08992</v>
      </c>
      <c r="O35" s="67">
        <f t="shared" si="32"/>
        <v>0.0193</v>
      </c>
      <c r="P35" s="60">
        <v>0</v>
      </c>
      <c r="Q35" s="67">
        <f t="shared" si="16"/>
        <v>0</v>
      </c>
      <c r="R35" s="27">
        <v>2</v>
      </c>
      <c r="S35" s="67">
        <f t="shared" si="17"/>
        <v>0.0122</v>
      </c>
      <c r="T35" s="60">
        <v>0</v>
      </c>
      <c r="U35" s="67">
        <f t="shared" si="33"/>
        <v>0</v>
      </c>
      <c r="V35" s="1">
        <f t="shared" si="18"/>
        <v>6.67</v>
      </c>
      <c r="W35" s="95">
        <f t="shared" si="34"/>
        <v>0.007</v>
      </c>
      <c r="X35" s="99">
        <f t="shared" si="35"/>
        <v>47.8391</v>
      </c>
      <c r="Y35" s="99"/>
      <c r="Z35" s="108">
        <v>35.175</v>
      </c>
      <c r="AA35" s="105">
        <f t="shared" si="6"/>
        <v>12.6641</v>
      </c>
      <c r="AB35" s="106">
        <f t="shared" si="7"/>
        <v>36.0031272210377</v>
      </c>
      <c r="AD35" s="27" t="s">
        <v>114</v>
      </c>
      <c r="AE35" s="109">
        <v>15.3</v>
      </c>
      <c r="AF35" s="110">
        <f t="shared" si="36"/>
        <v>19.875</v>
      </c>
      <c r="AG35" s="110">
        <f t="shared" si="37"/>
        <v>140.699874213837</v>
      </c>
    </row>
    <row r="36" s="34" customFormat="1" ht="31" customHeight="1" spans="1:33">
      <c r="A36" s="27">
        <v>609005</v>
      </c>
      <c r="B36" s="27" t="s">
        <v>115</v>
      </c>
      <c r="C36" s="27">
        <f t="shared" si="26"/>
        <v>68.3415</v>
      </c>
      <c r="D36" s="66">
        <v>259</v>
      </c>
      <c r="E36" s="67">
        <f t="shared" si="27"/>
        <v>0.0131</v>
      </c>
      <c r="F36" s="27">
        <v>606</v>
      </c>
      <c r="G36" s="67">
        <f t="shared" si="28"/>
        <v>0.0115</v>
      </c>
      <c r="H36" s="72">
        <v>599</v>
      </c>
      <c r="I36" s="84">
        <f t="shared" si="29"/>
        <v>0.015</v>
      </c>
      <c r="J36" s="85">
        <v>1</v>
      </c>
      <c r="K36" s="67">
        <f t="shared" si="30"/>
        <v>0.0001</v>
      </c>
      <c r="L36" s="91">
        <v>0</v>
      </c>
      <c r="M36" s="87">
        <f t="shared" si="31"/>
        <v>0</v>
      </c>
      <c r="N36" s="72">
        <v>5519.805</v>
      </c>
      <c r="O36" s="67">
        <f t="shared" si="32"/>
        <v>0.0166</v>
      </c>
      <c r="P36" s="60">
        <v>0</v>
      </c>
      <c r="Q36" s="67">
        <f t="shared" si="16"/>
        <v>0</v>
      </c>
      <c r="R36" s="27">
        <v>2</v>
      </c>
      <c r="S36" s="67">
        <f t="shared" si="17"/>
        <v>0.0122</v>
      </c>
      <c r="T36" s="60">
        <v>0</v>
      </c>
      <c r="U36" s="67">
        <f t="shared" si="33"/>
        <v>0</v>
      </c>
      <c r="V36" s="1">
        <f t="shared" si="18"/>
        <v>9.718</v>
      </c>
      <c r="W36" s="95">
        <f t="shared" si="34"/>
        <v>0.01</v>
      </c>
      <c r="X36" s="99">
        <f t="shared" si="35"/>
        <v>68.3415</v>
      </c>
      <c r="Y36" s="99"/>
      <c r="Z36" s="108">
        <v>54.5345</v>
      </c>
      <c r="AA36" s="105">
        <f t="shared" si="6"/>
        <v>13.807</v>
      </c>
      <c r="AB36" s="106">
        <f t="shared" si="7"/>
        <v>25.3179180152014</v>
      </c>
      <c r="AD36" s="27" t="s">
        <v>115</v>
      </c>
      <c r="AE36" s="109">
        <v>19.3</v>
      </c>
      <c r="AF36" s="110">
        <f t="shared" si="36"/>
        <v>35.2345</v>
      </c>
      <c r="AG36" s="110">
        <f t="shared" si="37"/>
        <v>93.9618839489705</v>
      </c>
    </row>
    <row r="37" s="34" customFormat="1" ht="31" customHeight="1" spans="1:33">
      <c r="A37" s="27">
        <v>610005</v>
      </c>
      <c r="B37" s="27" t="s">
        <v>116</v>
      </c>
      <c r="C37" s="27">
        <f t="shared" si="26"/>
        <v>41.0049</v>
      </c>
      <c r="D37" s="66">
        <v>17</v>
      </c>
      <c r="E37" s="67">
        <f t="shared" si="27"/>
        <v>0.0009</v>
      </c>
      <c r="F37" s="27">
        <v>124</v>
      </c>
      <c r="G37" s="67">
        <f t="shared" si="28"/>
        <v>0.0024</v>
      </c>
      <c r="H37" s="72">
        <v>245</v>
      </c>
      <c r="I37" s="84">
        <f t="shared" si="29"/>
        <v>0.0061</v>
      </c>
      <c r="J37" s="85">
        <v>1</v>
      </c>
      <c r="K37" s="67">
        <f t="shared" si="30"/>
        <v>0.0001</v>
      </c>
      <c r="L37" s="91">
        <v>0</v>
      </c>
      <c r="M37" s="87">
        <f t="shared" si="31"/>
        <v>0</v>
      </c>
      <c r="N37" s="72">
        <v>7126.185</v>
      </c>
      <c r="O37" s="67">
        <f t="shared" si="32"/>
        <v>0.0214</v>
      </c>
      <c r="P37" s="60">
        <v>0</v>
      </c>
      <c r="Q37" s="67">
        <f t="shared" si="16"/>
        <v>0</v>
      </c>
      <c r="R37" s="27">
        <v>2</v>
      </c>
      <c r="S37" s="67">
        <f t="shared" si="17"/>
        <v>0.0122</v>
      </c>
      <c r="T37" s="60">
        <v>0</v>
      </c>
      <c r="U37" s="67">
        <f t="shared" si="33"/>
        <v>0</v>
      </c>
      <c r="V37" s="1">
        <f t="shared" si="18"/>
        <v>6.168</v>
      </c>
      <c r="W37" s="95">
        <f t="shared" si="34"/>
        <v>0.006</v>
      </c>
      <c r="X37" s="99">
        <f t="shared" si="35"/>
        <v>41.0049</v>
      </c>
      <c r="Y37" s="99"/>
      <c r="Z37" s="108">
        <v>32.3225</v>
      </c>
      <c r="AA37" s="105">
        <f t="shared" si="6"/>
        <v>8.6824</v>
      </c>
      <c r="AB37" s="106">
        <f t="shared" si="7"/>
        <v>26.8617835872844</v>
      </c>
      <c r="AD37" s="27" t="s">
        <v>116</v>
      </c>
      <c r="AE37" s="109">
        <v>9.3</v>
      </c>
      <c r="AF37" s="110">
        <f t="shared" si="36"/>
        <v>23.0225</v>
      </c>
      <c r="AG37" s="110">
        <f t="shared" si="37"/>
        <v>78.1079378868498</v>
      </c>
    </row>
    <row r="38" s="34" customFormat="1" ht="31" customHeight="1" spans="1:33">
      <c r="A38" s="27">
        <v>610003</v>
      </c>
      <c r="B38" s="27" t="s">
        <v>117</v>
      </c>
      <c r="C38" s="27">
        <f t="shared" si="26"/>
        <v>95.6781</v>
      </c>
      <c r="D38" s="66">
        <v>326</v>
      </c>
      <c r="E38" s="67">
        <f t="shared" si="27"/>
        <v>0.0165</v>
      </c>
      <c r="F38" s="27">
        <v>1448</v>
      </c>
      <c r="G38" s="67">
        <f t="shared" si="28"/>
        <v>0.0276</v>
      </c>
      <c r="H38" s="72">
        <v>1393</v>
      </c>
      <c r="I38" s="84">
        <f t="shared" si="29"/>
        <v>0.0349</v>
      </c>
      <c r="J38" s="85">
        <v>1</v>
      </c>
      <c r="K38" s="67">
        <f t="shared" si="30"/>
        <v>0.0001</v>
      </c>
      <c r="L38" s="91">
        <v>1</v>
      </c>
      <c r="M38" s="87">
        <f t="shared" si="31"/>
        <v>0</v>
      </c>
      <c r="N38" s="72">
        <v>4781.62574</v>
      </c>
      <c r="O38" s="67">
        <f t="shared" si="32"/>
        <v>0.0143</v>
      </c>
      <c r="P38" s="60">
        <v>0</v>
      </c>
      <c r="Q38" s="67">
        <f t="shared" si="16"/>
        <v>0</v>
      </c>
      <c r="R38" s="27">
        <v>2</v>
      </c>
      <c r="S38" s="67">
        <f t="shared" si="17"/>
        <v>0.0122</v>
      </c>
      <c r="T38" s="60">
        <v>0</v>
      </c>
      <c r="U38" s="67">
        <f t="shared" si="33"/>
        <v>0</v>
      </c>
      <c r="V38" s="1">
        <f t="shared" si="18"/>
        <v>14.098</v>
      </c>
      <c r="W38" s="95">
        <f t="shared" si="34"/>
        <v>0.014</v>
      </c>
      <c r="X38" s="99">
        <f t="shared" si="35"/>
        <v>95.6781</v>
      </c>
      <c r="Y38" s="99"/>
      <c r="Z38" s="108">
        <v>75.743</v>
      </c>
      <c r="AA38" s="105">
        <f t="shared" si="6"/>
        <v>19.9351</v>
      </c>
      <c r="AB38" s="106">
        <f t="shared" si="7"/>
        <v>26.3193958517619</v>
      </c>
      <c r="AD38" s="27" t="s">
        <v>117</v>
      </c>
      <c r="AE38" s="109">
        <v>18.9</v>
      </c>
      <c r="AF38" s="110">
        <f t="shared" si="36"/>
        <v>56.843</v>
      </c>
      <c r="AG38" s="110">
        <f t="shared" si="37"/>
        <v>68.3199338528931</v>
      </c>
    </row>
    <row r="39" s="34" customFormat="1" ht="31" customHeight="1" spans="1:33">
      <c r="A39" s="27">
        <v>610004</v>
      </c>
      <c r="B39" s="27" t="s">
        <v>118</v>
      </c>
      <c r="C39" s="27">
        <f t="shared" si="26"/>
        <v>61.5074</v>
      </c>
      <c r="D39" s="66">
        <v>426</v>
      </c>
      <c r="E39" s="67">
        <f t="shared" si="27"/>
        <v>0.0215</v>
      </c>
      <c r="F39" s="27">
        <v>588</v>
      </c>
      <c r="G39" s="67">
        <f t="shared" si="28"/>
        <v>0.0112</v>
      </c>
      <c r="H39" s="72">
        <v>642</v>
      </c>
      <c r="I39" s="84">
        <f t="shared" si="29"/>
        <v>0.0161</v>
      </c>
      <c r="J39" s="85">
        <v>2</v>
      </c>
      <c r="K39" s="67">
        <f t="shared" si="30"/>
        <v>0.0002</v>
      </c>
      <c r="L39" s="91">
        <v>0</v>
      </c>
      <c r="M39" s="87">
        <f t="shared" si="31"/>
        <v>0</v>
      </c>
      <c r="N39" s="72">
        <v>1855.98944</v>
      </c>
      <c r="O39" s="67">
        <f t="shared" si="32"/>
        <v>0.0056</v>
      </c>
      <c r="P39" s="60">
        <v>0</v>
      </c>
      <c r="Q39" s="67">
        <f t="shared" si="16"/>
        <v>0</v>
      </c>
      <c r="R39" s="27">
        <v>2</v>
      </c>
      <c r="S39" s="67">
        <f t="shared" si="17"/>
        <v>0.0122</v>
      </c>
      <c r="T39" s="60">
        <v>0</v>
      </c>
      <c r="U39" s="67">
        <f t="shared" si="33"/>
        <v>0</v>
      </c>
      <c r="V39" s="1">
        <f t="shared" si="18"/>
        <v>9.037</v>
      </c>
      <c r="W39" s="95">
        <f t="shared" si="34"/>
        <v>0.009</v>
      </c>
      <c r="X39" s="99">
        <f t="shared" si="35"/>
        <v>61.5074</v>
      </c>
      <c r="Y39" s="99"/>
      <c r="Z39" s="108">
        <v>68.7965</v>
      </c>
      <c r="AA39" s="105">
        <f t="shared" si="6"/>
        <v>-7.2891</v>
      </c>
      <c r="AB39" s="106">
        <f t="shared" si="7"/>
        <v>-10.5951610910439</v>
      </c>
      <c r="AD39" s="27" t="s">
        <v>118</v>
      </c>
      <c r="AE39" s="109">
        <v>16.5</v>
      </c>
      <c r="AF39" s="110">
        <f t="shared" si="36"/>
        <v>52.2965</v>
      </c>
      <c r="AG39" s="110">
        <f t="shared" si="37"/>
        <v>17.6128421596092</v>
      </c>
    </row>
    <row r="40" s="34" customFormat="1" ht="31" customHeight="1" spans="1:33">
      <c r="A40" s="27">
        <v>614003</v>
      </c>
      <c r="B40" s="27" t="s">
        <v>119</v>
      </c>
      <c r="C40" s="27">
        <f t="shared" si="26"/>
        <v>102.5123</v>
      </c>
      <c r="D40" s="66">
        <v>477</v>
      </c>
      <c r="E40" s="67">
        <f t="shared" si="27"/>
        <v>0.0241</v>
      </c>
      <c r="F40" s="27">
        <v>764</v>
      </c>
      <c r="G40" s="67">
        <f t="shared" si="28"/>
        <v>0.0145</v>
      </c>
      <c r="H40" s="72">
        <v>853</v>
      </c>
      <c r="I40" s="84">
        <f t="shared" si="29"/>
        <v>0.0214</v>
      </c>
      <c r="J40" s="85">
        <v>2</v>
      </c>
      <c r="K40" s="67">
        <f t="shared" si="30"/>
        <v>0.0002</v>
      </c>
      <c r="L40" s="91">
        <v>0</v>
      </c>
      <c r="M40" s="87">
        <f t="shared" si="31"/>
        <v>0</v>
      </c>
      <c r="N40" s="72">
        <v>6516.00051</v>
      </c>
      <c r="O40" s="67">
        <f t="shared" si="32"/>
        <v>0.0195</v>
      </c>
      <c r="P40" s="60">
        <v>0</v>
      </c>
      <c r="Q40" s="67">
        <f t="shared" si="16"/>
        <v>0</v>
      </c>
      <c r="R40" s="27">
        <v>3</v>
      </c>
      <c r="S40" s="67">
        <f t="shared" si="17"/>
        <v>0.0183</v>
      </c>
      <c r="T40" s="60">
        <v>3000</v>
      </c>
      <c r="U40" s="67">
        <f t="shared" si="33"/>
        <v>0.057</v>
      </c>
      <c r="V40" s="1">
        <f t="shared" si="18"/>
        <v>15.48</v>
      </c>
      <c r="W40" s="95">
        <f t="shared" si="34"/>
        <v>0.015</v>
      </c>
      <c r="X40" s="99">
        <f t="shared" si="35"/>
        <v>102.5123</v>
      </c>
      <c r="Y40" s="99"/>
      <c r="Z40" s="108">
        <v>89.716</v>
      </c>
      <c r="AA40" s="105">
        <f t="shared" ref="AA40:AA59" si="38">X40-Z40</f>
        <v>12.7963</v>
      </c>
      <c r="AB40" s="106">
        <f t="shared" ref="AB40:AB59" si="39">AA40*100/Z40</f>
        <v>14.2631191760667</v>
      </c>
      <c r="AD40" s="27" t="s">
        <v>119</v>
      </c>
      <c r="AE40" s="109">
        <v>15.9</v>
      </c>
      <c r="AF40" s="110">
        <f t="shared" si="36"/>
        <v>73.816</v>
      </c>
      <c r="AG40" s="110">
        <f t="shared" si="37"/>
        <v>38.8754470575485</v>
      </c>
    </row>
    <row r="41" s="34" customFormat="1" ht="31" customHeight="1" spans="1:33">
      <c r="A41" s="27">
        <v>615010</v>
      </c>
      <c r="B41" s="27" t="s">
        <v>120</v>
      </c>
      <c r="C41" s="27">
        <f t="shared" si="26"/>
        <v>82.0098</v>
      </c>
      <c r="D41" s="66">
        <v>176</v>
      </c>
      <c r="E41" s="67">
        <f t="shared" si="27"/>
        <v>0.0089</v>
      </c>
      <c r="F41" s="27">
        <v>729</v>
      </c>
      <c r="G41" s="67">
        <f t="shared" si="28"/>
        <v>0.0139</v>
      </c>
      <c r="H41" s="72">
        <v>460</v>
      </c>
      <c r="I41" s="84">
        <f t="shared" si="29"/>
        <v>0.0115</v>
      </c>
      <c r="J41" s="85">
        <v>1</v>
      </c>
      <c r="K41" s="67">
        <f t="shared" si="30"/>
        <v>0.0001</v>
      </c>
      <c r="L41" s="91">
        <v>0</v>
      </c>
      <c r="M41" s="87">
        <f t="shared" si="31"/>
        <v>0</v>
      </c>
      <c r="N41" s="72">
        <v>9585.7807</v>
      </c>
      <c r="O41" s="67">
        <f t="shared" si="32"/>
        <v>0.0288</v>
      </c>
      <c r="P41" s="60">
        <v>0</v>
      </c>
      <c r="Q41" s="67">
        <f t="shared" si="16"/>
        <v>0</v>
      </c>
      <c r="R41" s="27">
        <v>2</v>
      </c>
      <c r="S41" s="67">
        <f t="shared" si="17"/>
        <v>0.0122</v>
      </c>
      <c r="T41" s="60">
        <v>0</v>
      </c>
      <c r="U41" s="67">
        <f t="shared" si="33"/>
        <v>0</v>
      </c>
      <c r="V41" s="1">
        <f t="shared" si="18"/>
        <v>11.607</v>
      </c>
      <c r="W41" s="95">
        <f t="shared" si="34"/>
        <v>0.012</v>
      </c>
      <c r="X41" s="99">
        <f t="shared" si="35"/>
        <v>82.0098</v>
      </c>
      <c r="Y41" s="99"/>
      <c r="Z41" s="108">
        <v>57.7495</v>
      </c>
      <c r="AA41" s="105">
        <f t="shared" si="38"/>
        <v>24.2603</v>
      </c>
      <c r="AB41" s="106">
        <f t="shared" si="39"/>
        <v>42.009541208149</v>
      </c>
      <c r="AD41" s="27" t="s">
        <v>120</v>
      </c>
      <c r="AE41" s="109">
        <v>16.9</v>
      </c>
      <c r="AF41" s="110">
        <f t="shared" si="36"/>
        <v>40.8495</v>
      </c>
      <c r="AG41" s="110">
        <f t="shared" si="37"/>
        <v>100.760841625968</v>
      </c>
    </row>
    <row r="42" s="34" customFormat="1" ht="31" customHeight="1" spans="1:33">
      <c r="A42" s="27">
        <v>615007</v>
      </c>
      <c r="B42" s="27" t="s">
        <v>121</v>
      </c>
      <c r="C42" s="27">
        <f t="shared" ref="C42:C58" si="40">X42</f>
        <v>164.0196</v>
      </c>
      <c r="D42" s="66">
        <v>1162</v>
      </c>
      <c r="E42" s="67">
        <f t="shared" si="27"/>
        <v>0.0587</v>
      </c>
      <c r="F42" s="27">
        <v>908</v>
      </c>
      <c r="G42" s="67">
        <f t="shared" ref="G42:G58" si="41">ROUND(F42/$F$7,4)</f>
        <v>0.0173</v>
      </c>
      <c r="H42" s="72">
        <v>957</v>
      </c>
      <c r="I42" s="84">
        <f t="shared" ref="I42:I58" si="42">ROUND(H42/$H$7,4)</f>
        <v>0.024</v>
      </c>
      <c r="J42" s="85">
        <v>1</v>
      </c>
      <c r="K42" s="67">
        <f t="shared" ref="K42:K58" si="43">ROUND(J42/$J$7,4)</f>
        <v>0.0001</v>
      </c>
      <c r="L42" s="91">
        <v>0</v>
      </c>
      <c r="M42" s="87">
        <f t="shared" ref="M42:M58" si="44">ROUND(L42/$L$7,4)</f>
        <v>0</v>
      </c>
      <c r="N42" s="72">
        <v>10713.23136</v>
      </c>
      <c r="O42" s="67">
        <f t="shared" si="32"/>
        <v>0.0321</v>
      </c>
      <c r="P42" s="60">
        <v>0</v>
      </c>
      <c r="Q42" s="67">
        <f t="shared" ref="Q42:Q58" si="45">ROUND(P42/$P$7,4)</f>
        <v>0</v>
      </c>
      <c r="R42" s="27">
        <v>2</v>
      </c>
      <c r="S42" s="67">
        <f t="shared" ref="S42:S58" si="46">ROUND(R42/$R$7,4)</f>
        <v>0.0122</v>
      </c>
      <c r="T42" s="60">
        <v>0</v>
      </c>
      <c r="U42" s="67">
        <f t="shared" si="33"/>
        <v>0</v>
      </c>
      <c r="V42" s="1">
        <f t="shared" ref="V42:V58" si="47">ROUNDDOWN((E42*0.2+G42*0.15+I42*0.09+K42*0.05+M42*0.19+O42*0.22+Q42*0.04+S42*0.03+U42*0.03)*1000,4)</f>
        <v>23.928</v>
      </c>
      <c r="W42" s="95">
        <f t="shared" ref="W42:W58" si="48">ROUND(V42/$V$7,3)</f>
        <v>0.024</v>
      </c>
      <c r="X42" s="99">
        <f t="shared" si="35"/>
        <v>164.0196</v>
      </c>
      <c r="Y42" s="99"/>
      <c r="Z42" s="108">
        <v>141.028</v>
      </c>
      <c r="AA42" s="105">
        <f t="shared" si="38"/>
        <v>22.9916</v>
      </c>
      <c r="AB42" s="106">
        <f t="shared" si="39"/>
        <v>16.3028618430383</v>
      </c>
      <c r="AD42" s="27" t="s">
        <v>121</v>
      </c>
      <c r="AE42" s="109">
        <v>20.5</v>
      </c>
      <c r="AF42" s="110">
        <f t="shared" si="36"/>
        <v>120.528</v>
      </c>
      <c r="AG42" s="110">
        <f t="shared" si="37"/>
        <v>36.084229390681</v>
      </c>
    </row>
    <row r="43" s="34" customFormat="1" ht="31" customHeight="1" spans="1:33">
      <c r="A43" s="27">
        <v>615006</v>
      </c>
      <c r="B43" s="27" t="s">
        <v>122</v>
      </c>
      <c r="C43" s="27">
        <f t="shared" si="40"/>
        <v>75.1757</v>
      </c>
      <c r="D43" s="66">
        <v>209</v>
      </c>
      <c r="E43" s="67">
        <f t="shared" si="27"/>
        <v>0.0106</v>
      </c>
      <c r="F43" s="27">
        <v>1246</v>
      </c>
      <c r="G43" s="67">
        <f t="shared" si="41"/>
        <v>0.0237</v>
      </c>
      <c r="H43" s="72">
        <v>915</v>
      </c>
      <c r="I43" s="84">
        <f t="shared" si="42"/>
        <v>0.0229</v>
      </c>
      <c r="J43" s="85">
        <v>2</v>
      </c>
      <c r="K43" s="67">
        <f t="shared" si="43"/>
        <v>0.0002</v>
      </c>
      <c r="L43" s="91">
        <v>0</v>
      </c>
      <c r="M43" s="87">
        <f t="shared" si="44"/>
        <v>0</v>
      </c>
      <c r="N43" s="72">
        <v>4423.84804</v>
      </c>
      <c r="O43" s="67">
        <f t="shared" si="32"/>
        <v>0.0133</v>
      </c>
      <c r="P43" s="60">
        <v>0</v>
      </c>
      <c r="Q43" s="67">
        <f t="shared" si="45"/>
        <v>0</v>
      </c>
      <c r="R43" s="27">
        <v>2</v>
      </c>
      <c r="S43" s="67">
        <f t="shared" si="46"/>
        <v>0.0122</v>
      </c>
      <c r="T43" s="60">
        <v>0</v>
      </c>
      <c r="U43" s="67">
        <f t="shared" ref="U43:U59" si="49">ROUND(T43/$T$7,4)</f>
        <v>0</v>
      </c>
      <c r="V43" s="1">
        <f t="shared" si="47"/>
        <v>11.038</v>
      </c>
      <c r="W43" s="95">
        <f t="shared" si="48"/>
        <v>0.011</v>
      </c>
      <c r="X43" s="99">
        <f t="shared" si="35"/>
        <v>75.1757</v>
      </c>
      <c r="Y43" s="99"/>
      <c r="Z43" s="108">
        <v>89.4625</v>
      </c>
      <c r="AA43" s="105">
        <f t="shared" si="38"/>
        <v>-14.2868</v>
      </c>
      <c r="AB43" s="106">
        <f t="shared" si="39"/>
        <v>-15.9695961995249</v>
      </c>
      <c r="AD43" s="27" t="s">
        <v>122</v>
      </c>
      <c r="AE43" s="109">
        <v>19.9</v>
      </c>
      <c r="AF43" s="110">
        <f t="shared" si="36"/>
        <v>69.5625</v>
      </c>
      <c r="AG43" s="110">
        <f t="shared" si="37"/>
        <v>8.06929020664871</v>
      </c>
    </row>
    <row r="44" s="34" customFormat="1" ht="31" customHeight="1" spans="1:33">
      <c r="A44" s="27">
        <v>616005</v>
      </c>
      <c r="B44" s="27" t="s">
        <v>123</v>
      </c>
      <c r="C44" s="27">
        <f t="shared" si="40"/>
        <v>95.6781</v>
      </c>
      <c r="D44" s="66">
        <v>249</v>
      </c>
      <c r="E44" s="67">
        <f t="shared" si="27"/>
        <v>0.0126</v>
      </c>
      <c r="F44" s="27">
        <v>1389</v>
      </c>
      <c r="G44" s="67">
        <f t="shared" si="41"/>
        <v>0.0264</v>
      </c>
      <c r="H44" s="72">
        <v>951</v>
      </c>
      <c r="I44" s="84">
        <f t="shared" si="42"/>
        <v>0.0238</v>
      </c>
      <c r="J44" s="85">
        <v>1</v>
      </c>
      <c r="K44" s="67">
        <f t="shared" si="43"/>
        <v>0.0001</v>
      </c>
      <c r="L44" s="91">
        <v>0</v>
      </c>
      <c r="M44" s="87">
        <f t="shared" si="44"/>
        <v>0</v>
      </c>
      <c r="N44" s="72">
        <v>7465.485</v>
      </c>
      <c r="O44" s="67">
        <f t="shared" si="32"/>
        <v>0.0224</v>
      </c>
      <c r="P44" s="60">
        <v>0</v>
      </c>
      <c r="Q44" s="67">
        <f t="shared" si="45"/>
        <v>0</v>
      </c>
      <c r="R44" s="27">
        <v>2</v>
      </c>
      <c r="S44" s="67">
        <f t="shared" si="46"/>
        <v>0.0122</v>
      </c>
      <c r="T44" s="60">
        <v>1000</v>
      </c>
      <c r="U44" s="67">
        <f t="shared" si="49"/>
        <v>0.019</v>
      </c>
      <c r="V44" s="1">
        <f t="shared" si="47"/>
        <v>14.491</v>
      </c>
      <c r="W44" s="95">
        <f t="shared" si="48"/>
        <v>0.014</v>
      </c>
      <c r="X44" s="99">
        <f t="shared" si="35"/>
        <v>95.6781</v>
      </c>
      <c r="Y44" s="99"/>
      <c r="Z44" s="108">
        <v>77.2325</v>
      </c>
      <c r="AA44" s="105">
        <f t="shared" si="38"/>
        <v>18.4456</v>
      </c>
      <c r="AB44" s="106">
        <f t="shared" si="39"/>
        <v>23.8832097886253</v>
      </c>
      <c r="AD44" s="27" t="s">
        <v>123</v>
      </c>
      <c r="AE44" s="109">
        <v>22.5</v>
      </c>
      <c r="AF44" s="110">
        <f t="shared" si="36"/>
        <v>54.7325</v>
      </c>
      <c r="AG44" s="110">
        <f t="shared" si="37"/>
        <v>74.8103960169917</v>
      </c>
    </row>
    <row r="45" s="34" customFormat="1" ht="31" customHeight="1" spans="1:33">
      <c r="A45" s="27">
        <v>616006</v>
      </c>
      <c r="B45" s="27" t="s">
        <v>124</v>
      </c>
      <c r="C45" s="27">
        <f t="shared" si="40"/>
        <v>95.6781</v>
      </c>
      <c r="D45" s="66">
        <v>232</v>
      </c>
      <c r="E45" s="67">
        <f t="shared" si="27"/>
        <v>0.0117</v>
      </c>
      <c r="F45" s="27">
        <v>1283</v>
      </c>
      <c r="G45" s="67">
        <f t="shared" si="41"/>
        <v>0.0244</v>
      </c>
      <c r="H45" s="72">
        <v>954</v>
      </c>
      <c r="I45" s="84">
        <f t="shared" si="42"/>
        <v>0.0239</v>
      </c>
      <c r="J45" s="85">
        <v>1</v>
      </c>
      <c r="K45" s="67">
        <f t="shared" si="43"/>
        <v>0.0001</v>
      </c>
      <c r="L45" s="91">
        <v>0</v>
      </c>
      <c r="M45" s="87">
        <f t="shared" si="44"/>
        <v>0</v>
      </c>
      <c r="N45" s="72">
        <v>7821.41278</v>
      </c>
      <c r="O45" s="67">
        <f t="shared" si="32"/>
        <v>0.0235</v>
      </c>
      <c r="P45" s="60">
        <v>0</v>
      </c>
      <c r="Q45" s="67">
        <f t="shared" si="45"/>
        <v>0</v>
      </c>
      <c r="R45" s="27">
        <v>2</v>
      </c>
      <c r="S45" s="67">
        <f t="shared" si="46"/>
        <v>0.0122</v>
      </c>
      <c r="T45" s="60">
        <v>0</v>
      </c>
      <c r="U45" s="67">
        <f t="shared" si="49"/>
        <v>0</v>
      </c>
      <c r="V45" s="1">
        <f t="shared" si="47"/>
        <v>13.692</v>
      </c>
      <c r="W45" s="95">
        <f t="shared" si="48"/>
        <v>0.014</v>
      </c>
      <c r="X45" s="99">
        <f t="shared" si="35"/>
        <v>95.6781</v>
      </c>
      <c r="Y45" s="99"/>
      <c r="Z45" s="108">
        <v>70.7185</v>
      </c>
      <c r="AA45" s="105">
        <f t="shared" si="38"/>
        <v>24.9596</v>
      </c>
      <c r="AB45" s="106">
        <f t="shared" si="39"/>
        <v>35.294300642689</v>
      </c>
      <c r="AD45" s="27" t="s">
        <v>124</v>
      </c>
      <c r="AE45" s="109">
        <v>17.7</v>
      </c>
      <c r="AF45" s="110">
        <f t="shared" si="36"/>
        <v>53.0185</v>
      </c>
      <c r="AG45" s="110">
        <f t="shared" si="37"/>
        <v>80.4617256240746</v>
      </c>
    </row>
    <row r="46" s="34" customFormat="1" ht="31" customHeight="1" spans="1:33">
      <c r="A46" s="27">
        <v>617008</v>
      </c>
      <c r="B46" s="27" t="s">
        <v>125</v>
      </c>
      <c r="C46" s="27">
        <f t="shared" si="40"/>
        <v>47.8391</v>
      </c>
      <c r="D46" s="66">
        <v>248</v>
      </c>
      <c r="E46" s="67">
        <f t="shared" si="27"/>
        <v>0.0125</v>
      </c>
      <c r="F46" s="27">
        <v>530</v>
      </c>
      <c r="G46" s="67">
        <f t="shared" si="41"/>
        <v>0.0101</v>
      </c>
      <c r="H46" s="72">
        <v>367</v>
      </c>
      <c r="I46" s="84">
        <f t="shared" si="42"/>
        <v>0.0092</v>
      </c>
      <c r="J46" s="85">
        <v>1</v>
      </c>
      <c r="K46" s="67">
        <f t="shared" si="43"/>
        <v>0.0001</v>
      </c>
      <c r="L46" s="91">
        <v>2</v>
      </c>
      <c r="M46" s="87">
        <f t="shared" si="44"/>
        <v>0.0001</v>
      </c>
      <c r="N46" s="72">
        <v>3380.66658</v>
      </c>
      <c r="O46" s="67">
        <f t="shared" si="32"/>
        <v>0.0101</v>
      </c>
      <c r="P46" s="60">
        <v>0</v>
      </c>
      <c r="Q46" s="67">
        <f t="shared" si="45"/>
        <v>0</v>
      </c>
      <c r="R46" s="27">
        <v>2</v>
      </c>
      <c r="S46" s="67">
        <f t="shared" si="46"/>
        <v>0.0122</v>
      </c>
      <c r="T46" s="60">
        <v>0</v>
      </c>
      <c r="U46" s="67">
        <f t="shared" si="49"/>
        <v>0</v>
      </c>
      <c r="V46" s="1">
        <f t="shared" si="47"/>
        <v>7.455</v>
      </c>
      <c r="W46" s="95">
        <f t="shared" si="48"/>
        <v>0.007</v>
      </c>
      <c r="X46" s="99">
        <f t="shared" si="35"/>
        <v>47.8391</v>
      </c>
      <c r="Y46" s="99"/>
      <c r="Z46" s="108">
        <v>50.326</v>
      </c>
      <c r="AA46" s="105">
        <f t="shared" si="38"/>
        <v>-2.4869</v>
      </c>
      <c r="AB46" s="106">
        <f t="shared" si="39"/>
        <v>-4.94158089258037</v>
      </c>
      <c r="AD46" s="27" t="s">
        <v>125</v>
      </c>
      <c r="AE46" s="109">
        <v>18.1</v>
      </c>
      <c r="AF46" s="110">
        <f t="shared" si="36"/>
        <v>32.226</v>
      </c>
      <c r="AG46" s="110">
        <f t="shared" si="37"/>
        <v>48.448768075467</v>
      </c>
    </row>
    <row r="47" s="34" customFormat="1" ht="31" customHeight="1" spans="1:33">
      <c r="A47" s="27">
        <v>617009</v>
      </c>
      <c r="B47" s="27" t="s">
        <v>126</v>
      </c>
      <c r="C47" s="27">
        <f t="shared" si="40"/>
        <v>54.6732</v>
      </c>
      <c r="D47" s="66">
        <v>138</v>
      </c>
      <c r="E47" s="67">
        <f t="shared" si="27"/>
        <v>0.007</v>
      </c>
      <c r="F47" s="27">
        <v>1085</v>
      </c>
      <c r="G47" s="67">
        <f t="shared" si="41"/>
        <v>0.0206</v>
      </c>
      <c r="H47" s="72">
        <v>775</v>
      </c>
      <c r="I47" s="84">
        <f t="shared" si="42"/>
        <v>0.0194</v>
      </c>
      <c r="J47" s="85">
        <v>1</v>
      </c>
      <c r="K47" s="67">
        <f t="shared" si="43"/>
        <v>0.0001</v>
      </c>
      <c r="L47" s="91">
        <v>2</v>
      </c>
      <c r="M47" s="87">
        <f t="shared" si="44"/>
        <v>0.0001</v>
      </c>
      <c r="N47" s="72">
        <v>2520.70315</v>
      </c>
      <c r="O47" s="67">
        <f t="shared" si="32"/>
        <v>0.0076</v>
      </c>
      <c r="P47" s="60">
        <v>0</v>
      </c>
      <c r="Q47" s="67">
        <f t="shared" si="45"/>
        <v>0</v>
      </c>
      <c r="R47" s="27">
        <v>2</v>
      </c>
      <c r="S47" s="67">
        <f t="shared" si="46"/>
        <v>0.0122</v>
      </c>
      <c r="T47" s="60">
        <v>0</v>
      </c>
      <c r="U47" s="67">
        <f t="shared" si="49"/>
        <v>0</v>
      </c>
      <c r="V47" s="1">
        <f t="shared" si="47"/>
        <v>8.298</v>
      </c>
      <c r="W47" s="95">
        <f t="shared" si="48"/>
        <v>0.008</v>
      </c>
      <c r="X47" s="99">
        <f t="shared" si="35"/>
        <v>54.6732</v>
      </c>
      <c r="Y47" s="99"/>
      <c r="Z47" s="108">
        <v>45.373</v>
      </c>
      <c r="AA47" s="105">
        <f t="shared" si="38"/>
        <v>9.3002</v>
      </c>
      <c r="AB47" s="106">
        <f t="shared" si="39"/>
        <v>20.497211998325</v>
      </c>
      <c r="AD47" s="27" t="s">
        <v>126</v>
      </c>
      <c r="AE47" s="109">
        <v>20.5</v>
      </c>
      <c r="AF47" s="110">
        <f t="shared" si="36"/>
        <v>24.873</v>
      </c>
      <c r="AG47" s="110">
        <f t="shared" si="37"/>
        <v>119.809431914124</v>
      </c>
    </row>
    <row r="48" s="34" customFormat="1" ht="31" customHeight="1" spans="1:33">
      <c r="A48" s="27">
        <v>617007</v>
      </c>
      <c r="B48" s="27" t="s">
        <v>127</v>
      </c>
      <c r="C48" s="27">
        <f t="shared" si="40"/>
        <v>41.0049</v>
      </c>
      <c r="D48" s="66">
        <v>138</v>
      </c>
      <c r="E48" s="67">
        <f t="shared" si="27"/>
        <v>0.007</v>
      </c>
      <c r="F48" s="27">
        <v>365</v>
      </c>
      <c r="G48" s="67">
        <f t="shared" si="41"/>
        <v>0.0069</v>
      </c>
      <c r="H48" s="72">
        <v>422</v>
      </c>
      <c r="I48" s="84">
        <f t="shared" si="42"/>
        <v>0.0106</v>
      </c>
      <c r="J48" s="85">
        <v>1</v>
      </c>
      <c r="K48" s="67">
        <f t="shared" si="43"/>
        <v>0.0001</v>
      </c>
      <c r="L48" s="91">
        <v>0</v>
      </c>
      <c r="M48" s="87">
        <f t="shared" si="44"/>
        <v>0</v>
      </c>
      <c r="N48" s="72">
        <v>2674.59375</v>
      </c>
      <c r="O48" s="67">
        <f t="shared" si="32"/>
        <v>0.008</v>
      </c>
      <c r="P48" s="60">
        <v>0</v>
      </c>
      <c r="Q48" s="67">
        <f t="shared" si="45"/>
        <v>0</v>
      </c>
      <c r="R48" s="27">
        <v>2</v>
      </c>
      <c r="S48" s="67">
        <f t="shared" si="46"/>
        <v>0.0122</v>
      </c>
      <c r="T48" s="60">
        <v>0</v>
      </c>
      <c r="U48" s="67">
        <f t="shared" si="49"/>
        <v>0</v>
      </c>
      <c r="V48" s="1">
        <f t="shared" si="47"/>
        <v>5.52</v>
      </c>
      <c r="W48" s="95">
        <f t="shared" si="48"/>
        <v>0.006</v>
      </c>
      <c r="X48" s="99">
        <f t="shared" si="35"/>
        <v>41.0049</v>
      </c>
      <c r="Y48" s="99"/>
      <c r="Z48" s="108">
        <v>36.937</v>
      </c>
      <c r="AA48" s="105">
        <f t="shared" si="38"/>
        <v>4.0679</v>
      </c>
      <c r="AB48" s="106">
        <f t="shared" si="39"/>
        <v>11.013076319138</v>
      </c>
      <c r="AD48" s="27" t="s">
        <v>127</v>
      </c>
      <c r="AE48" s="109">
        <v>14.1</v>
      </c>
      <c r="AF48" s="110">
        <f t="shared" si="36"/>
        <v>22.837</v>
      </c>
      <c r="AG48" s="110">
        <f t="shared" si="37"/>
        <v>79.5546700529842</v>
      </c>
    </row>
    <row r="49" s="34" customFormat="1" ht="31" customHeight="1" spans="1:33">
      <c r="A49" s="27">
        <v>617006</v>
      </c>
      <c r="B49" s="27" t="s">
        <v>128</v>
      </c>
      <c r="C49" s="27">
        <f t="shared" si="40"/>
        <v>54.6732</v>
      </c>
      <c r="D49" s="66">
        <v>119</v>
      </c>
      <c r="E49" s="67">
        <f t="shared" si="27"/>
        <v>0.006</v>
      </c>
      <c r="F49" s="27">
        <v>584</v>
      </c>
      <c r="G49" s="67">
        <f t="shared" si="41"/>
        <v>0.0111</v>
      </c>
      <c r="H49" s="72">
        <v>290</v>
      </c>
      <c r="I49" s="84">
        <f t="shared" si="42"/>
        <v>0.0073</v>
      </c>
      <c r="J49" s="85">
        <v>1</v>
      </c>
      <c r="K49" s="67">
        <f t="shared" si="43"/>
        <v>0.0001</v>
      </c>
      <c r="L49" s="91">
        <v>0</v>
      </c>
      <c r="M49" s="87">
        <f t="shared" si="44"/>
        <v>0</v>
      </c>
      <c r="N49" s="72">
        <v>6230.1488</v>
      </c>
      <c r="O49" s="67">
        <f t="shared" si="32"/>
        <v>0.0187</v>
      </c>
      <c r="P49" s="60">
        <v>0</v>
      </c>
      <c r="Q49" s="67">
        <f t="shared" si="45"/>
        <v>0</v>
      </c>
      <c r="R49" s="27">
        <v>2</v>
      </c>
      <c r="S49" s="67">
        <f t="shared" si="46"/>
        <v>0.0122</v>
      </c>
      <c r="T49" s="60">
        <v>0</v>
      </c>
      <c r="U49" s="67">
        <f t="shared" si="49"/>
        <v>0</v>
      </c>
      <c r="V49" s="1">
        <f t="shared" si="47"/>
        <v>8.007</v>
      </c>
      <c r="W49" s="95">
        <f t="shared" si="48"/>
        <v>0.008</v>
      </c>
      <c r="X49" s="99">
        <f t="shared" si="35"/>
        <v>54.6732</v>
      </c>
      <c r="Y49" s="99"/>
      <c r="Z49" s="108">
        <v>46.9575</v>
      </c>
      <c r="AA49" s="105">
        <f t="shared" si="38"/>
        <v>7.7157</v>
      </c>
      <c r="AB49" s="106">
        <f t="shared" si="39"/>
        <v>16.4312410158122</v>
      </c>
      <c r="AD49" s="27" t="s">
        <v>128</v>
      </c>
      <c r="AE49" s="109">
        <v>19.3</v>
      </c>
      <c r="AF49" s="110">
        <f t="shared" si="36"/>
        <v>27.6575</v>
      </c>
      <c r="AG49" s="110">
        <f t="shared" si="37"/>
        <v>97.6794721142547</v>
      </c>
    </row>
    <row r="50" s="34" customFormat="1" ht="31" customHeight="1" spans="1:33">
      <c r="A50" s="27">
        <v>618004</v>
      </c>
      <c r="B50" s="27" t="s">
        <v>129</v>
      </c>
      <c r="C50" s="27">
        <f t="shared" si="40"/>
        <v>109.3464</v>
      </c>
      <c r="D50" s="66">
        <v>506</v>
      </c>
      <c r="E50" s="67">
        <f t="shared" si="27"/>
        <v>0.0255</v>
      </c>
      <c r="F50" s="27">
        <v>958</v>
      </c>
      <c r="G50" s="67">
        <f t="shared" si="41"/>
        <v>0.0182</v>
      </c>
      <c r="H50" s="72">
        <v>683</v>
      </c>
      <c r="I50" s="84">
        <f t="shared" si="42"/>
        <v>0.0171</v>
      </c>
      <c r="J50" s="85">
        <v>251</v>
      </c>
      <c r="K50" s="67">
        <f t="shared" si="43"/>
        <v>0.0283</v>
      </c>
      <c r="L50" s="91">
        <v>0</v>
      </c>
      <c r="M50" s="87">
        <f t="shared" si="44"/>
        <v>0</v>
      </c>
      <c r="N50" s="72">
        <v>6713.16192</v>
      </c>
      <c r="O50" s="67">
        <f t="shared" si="32"/>
        <v>0.0201</v>
      </c>
      <c r="P50" s="60">
        <v>0</v>
      </c>
      <c r="Q50" s="67">
        <f t="shared" si="45"/>
        <v>0</v>
      </c>
      <c r="R50" s="27">
        <v>2</v>
      </c>
      <c r="S50" s="67">
        <f t="shared" si="46"/>
        <v>0.0122</v>
      </c>
      <c r="T50" s="60">
        <v>0</v>
      </c>
      <c r="U50" s="67">
        <f t="shared" si="49"/>
        <v>0</v>
      </c>
      <c r="V50" s="1">
        <f t="shared" si="47"/>
        <v>15.572</v>
      </c>
      <c r="W50" s="95">
        <f t="shared" si="48"/>
        <v>0.016</v>
      </c>
      <c r="X50" s="99">
        <f t="shared" si="35"/>
        <v>109.3464</v>
      </c>
      <c r="Y50" s="99"/>
      <c r="Z50" s="108">
        <v>86.6245</v>
      </c>
      <c r="AA50" s="105">
        <f t="shared" si="38"/>
        <v>22.7219</v>
      </c>
      <c r="AB50" s="106">
        <f t="shared" si="39"/>
        <v>26.2303389918557</v>
      </c>
      <c r="AD50" s="27" t="s">
        <v>129</v>
      </c>
      <c r="AE50" s="109">
        <v>21.9</v>
      </c>
      <c r="AF50" s="110">
        <f t="shared" si="36"/>
        <v>64.7245</v>
      </c>
      <c r="AG50" s="110">
        <f t="shared" si="37"/>
        <v>68.9412818948003</v>
      </c>
    </row>
    <row r="51" s="34" customFormat="1" ht="31" customHeight="1" spans="1:33">
      <c r="A51" s="27">
        <v>618007</v>
      </c>
      <c r="B51" s="27" t="s">
        <v>130</v>
      </c>
      <c r="C51" s="27">
        <f t="shared" si="40"/>
        <v>13.6683</v>
      </c>
      <c r="D51" s="66">
        <v>38</v>
      </c>
      <c r="E51" s="67">
        <f t="shared" si="27"/>
        <v>0.0019</v>
      </c>
      <c r="F51" s="27">
        <v>116</v>
      </c>
      <c r="G51" s="67">
        <f t="shared" si="41"/>
        <v>0.0022</v>
      </c>
      <c r="H51" s="72">
        <v>71</v>
      </c>
      <c r="I51" s="84">
        <f t="shared" si="42"/>
        <v>0.0018</v>
      </c>
      <c r="J51" s="85">
        <v>1</v>
      </c>
      <c r="K51" s="67">
        <f t="shared" si="43"/>
        <v>0.0001</v>
      </c>
      <c r="L51" s="91">
        <v>0</v>
      </c>
      <c r="M51" s="87">
        <f t="shared" si="44"/>
        <v>0</v>
      </c>
      <c r="N51" s="72">
        <v>850.24835</v>
      </c>
      <c r="O51" s="67">
        <f t="shared" si="32"/>
        <v>0.0026</v>
      </c>
      <c r="P51" s="60">
        <v>0</v>
      </c>
      <c r="Q51" s="67">
        <f t="shared" si="45"/>
        <v>0</v>
      </c>
      <c r="R51" s="27">
        <v>2</v>
      </c>
      <c r="S51" s="67">
        <f t="shared" si="46"/>
        <v>0.0122</v>
      </c>
      <c r="T51" s="60">
        <v>0</v>
      </c>
      <c r="U51" s="67">
        <f t="shared" si="49"/>
        <v>0</v>
      </c>
      <c r="V51" s="1">
        <f t="shared" si="47"/>
        <v>1.815</v>
      </c>
      <c r="W51" s="95">
        <f t="shared" si="48"/>
        <v>0.002</v>
      </c>
      <c r="X51" s="99">
        <f t="shared" si="35"/>
        <v>13.6683</v>
      </c>
      <c r="Y51" s="99"/>
      <c r="Z51" s="108">
        <v>20.9165</v>
      </c>
      <c r="AA51" s="105">
        <f t="shared" si="38"/>
        <v>-7.2482</v>
      </c>
      <c r="AB51" s="106">
        <f t="shared" si="39"/>
        <v>-34.6530251237062</v>
      </c>
      <c r="AD51" s="27" t="s">
        <v>130</v>
      </c>
      <c r="AE51" s="109">
        <v>9.9</v>
      </c>
      <c r="AF51" s="110">
        <f t="shared" si="36"/>
        <v>11.0165</v>
      </c>
      <c r="AG51" s="110">
        <f t="shared" si="37"/>
        <v>24.0711659783053</v>
      </c>
    </row>
    <row r="52" s="34" customFormat="1" ht="31" customHeight="1" spans="1:33">
      <c r="A52" s="27">
        <v>618008</v>
      </c>
      <c r="B52" s="27" t="s">
        <v>131</v>
      </c>
      <c r="C52" s="27">
        <f t="shared" si="40"/>
        <v>20.5025</v>
      </c>
      <c r="D52" s="66">
        <v>46</v>
      </c>
      <c r="E52" s="67">
        <f t="shared" si="27"/>
        <v>0.0023</v>
      </c>
      <c r="F52" s="27">
        <v>326</v>
      </c>
      <c r="G52" s="67">
        <f t="shared" si="41"/>
        <v>0.0062</v>
      </c>
      <c r="H52" s="72">
        <v>102</v>
      </c>
      <c r="I52" s="84">
        <f t="shared" si="42"/>
        <v>0.0026</v>
      </c>
      <c r="J52" s="85">
        <v>2</v>
      </c>
      <c r="K52" s="67">
        <f t="shared" si="43"/>
        <v>0.0002</v>
      </c>
      <c r="L52" s="91">
        <v>0</v>
      </c>
      <c r="M52" s="87">
        <f t="shared" si="44"/>
        <v>0</v>
      </c>
      <c r="N52" s="72">
        <v>883.8879</v>
      </c>
      <c r="O52" s="67">
        <f t="shared" si="32"/>
        <v>0.0027</v>
      </c>
      <c r="P52" s="60">
        <v>0</v>
      </c>
      <c r="Q52" s="67">
        <f t="shared" si="45"/>
        <v>0</v>
      </c>
      <c r="R52" s="27">
        <v>3</v>
      </c>
      <c r="S52" s="67">
        <f t="shared" si="46"/>
        <v>0.0183</v>
      </c>
      <c r="T52" s="60">
        <v>0</v>
      </c>
      <c r="U52" s="67">
        <f t="shared" si="49"/>
        <v>0</v>
      </c>
      <c r="V52" s="1">
        <f t="shared" si="47"/>
        <v>2.777</v>
      </c>
      <c r="W52" s="95">
        <f t="shared" si="48"/>
        <v>0.003</v>
      </c>
      <c r="X52" s="99">
        <f t="shared" si="35"/>
        <v>20.5025</v>
      </c>
      <c r="Y52" s="99"/>
      <c r="Z52" s="108">
        <v>23.4775</v>
      </c>
      <c r="AA52" s="105">
        <f t="shared" si="38"/>
        <v>-2.975</v>
      </c>
      <c r="AB52" s="106">
        <f t="shared" si="39"/>
        <v>-12.6717069534661</v>
      </c>
      <c r="AD52" s="27" t="s">
        <v>131</v>
      </c>
      <c r="AE52" s="109">
        <v>9.9</v>
      </c>
      <c r="AF52" s="110">
        <f t="shared" si="36"/>
        <v>13.5775</v>
      </c>
      <c r="AG52" s="110">
        <f t="shared" si="37"/>
        <v>51.0034984349107</v>
      </c>
    </row>
    <row r="53" s="30" customFormat="1" ht="31" customHeight="1" spans="1:246">
      <c r="A53" s="27">
        <v>619003</v>
      </c>
      <c r="B53" s="27" t="s">
        <v>132</v>
      </c>
      <c r="C53" s="27">
        <f t="shared" si="40"/>
        <v>47.8391</v>
      </c>
      <c r="D53" s="66">
        <v>70</v>
      </c>
      <c r="E53" s="67">
        <f t="shared" si="27"/>
        <v>0.0035</v>
      </c>
      <c r="F53" s="27">
        <v>367</v>
      </c>
      <c r="G53" s="67">
        <f t="shared" si="41"/>
        <v>0.007</v>
      </c>
      <c r="H53" s="72">
        <v>715</v>
      </c>
      <c r="I53" s="84">
        <f t="shared" si="42"/>
        <v>0.0179</v>
      </c>
      <c r="J53" s="85">
        <v>2</v>
      </c>
      <c r="K53" s="67">
        <f t="shared" si="43"/>
        <v>0.0002</v>
      </c>
      <c r="L53" s="91">
        <v>0</v>
      </c>
      <c r="M53" s="87">
        <f t="shared" si="44"/>
        <v>0</v>
      </c>
      <c r="N53" s="72">
        <v>4513.445</v>
      </c>
      <c r="O53" s="67">
        <f t="shared" si="32"/>
        <v>0.0135</v>
      </c>
      <c r="P53" s="60">
        <v>0</v>
      </c>
      <c r="Q53" s="67">
        <f t="shared" si="45"/>
        <v>0</v>
      </c>
      <c r="R53" s="27">
        <v>2</v>
      </c>
      <c r="S53" s="67">
        <f t="shared" si="46"/>
        <v>0.0122</v>
      </c>
      <c r="T53" s="60">
        <v>0</v>
      </c>
      <c r="U53" s="67">
        <f t="shared" si="49"/>
        <v>0</v>
      </c>
      <c r="V53" s="1">
        <f t="shared" si="47"/>
        <v>6.707</v>
      </c>
      <c r="W53" s="95">
        <f t="shared" si="48"/>
        <v>0.007</v>
      </c>
      <c r="X53" s="99">
        <f t="shared" si="35"/>
        <v>47.8391</v>
      </c>
      <c r="Y53" s="99"/>
      <c r="Z53" s="108">
        <v>56.8925</v>
      </c>
      <c r="AA53" s="105">
        <f t="shared" si="38"/>
        <v>-9.0534</v>
      </c>
      <c r="AB53" s="106">
        <f t="shared" si="39"/>
        <v>-15.9131695741969</v>
      </c>
      <c r="AD53" s="27" t="s">
        <v>132</v>
      </c>
      <c r="AE53" s="111">
        <v>20.1</v>
      </c>
      <c r="AF53" s="110">
        <f t="shared" si="36"/>
        <v>36.7925</v>
      </c>
      <c r="AG53" s="110">
        <f t="shared" si="37"/>
        <v>30.0240538153156</v>
      </c>
      <c r="IG53" s="46"/>
      <c r="IH53" s="46"/>
      <c r="II53" s="46"/>
      <c r="IJ53" s="46"/>
      <c r="IK53" s="46"/>
      <c r="IL53" s="46"/>
    </row>
    <row r="54" s="30" customFormat="1" ht="31" customHeight="1" spans="1:246">
      <c r="A54" s="27">
        <v>620004</v>
      </c>
      <c r="B54" s="27" t="s">
        <v>133</v>
      </c>
      <c r="C54" s="27">
        <f t="shared" si="40"/>
        <v>129.8489</v>
      </c>
      <c r="D54" s="66">
        <v>437</v>
      </c>
      <c r="E54" s="67">
        <f t="shared" si="27"/>
        <v>0.0221</v>
      </c>
      <c r="F54" s="27">
        <v>1386</v>
      </c>
      <c r="G54" s="67">
        <f t="shared" si="41"/>
        <v>0.0264</v>
      </c>
      <c r="H54" s="72">
        <v>1456</v>
      </c>
      <c r="I54" s="84">
        <f t="shared" si="42"/>
        <v>0.0365</v>
      </c>
      <c r="J54" s="85">
        <v>252</v>
      </c>
      <c r="K54" s="67">
        <f t="shared" si="43"/>
        <v>0.0284</v>
      </c>
      <c r="L54" s="91">
        <v>0</v>
      </c>
      <c r="M54" s="87">
        <f t="shared" si="44"/>
        <v>0</v>
      </c>
      <c r="N54" s="72">
        <v>8688.172</v>
      </c>
      <c r="O54" s="67">
        <f t="shared" si="32"/>
        <v>0.0261</v>
      </c>
      <c r="P54" s="60">
        <v>0</v>
      </c>
      <c r="Q54" s="67">
        <f t="shared" si="45"/>
        <v>0</v>
      </c>
      <c r="R54" s="27">
        <v>3</v>
      </c>
      <c r="S54" s="67">
        <f t="shared" si="46"/>
        <v>0.0183</v>
      </c>
      <c r="T54" s="60">
        <v>0</v>
      </c>
      <c r="U54" s="67">
        <f t="shared" si="49"/>
        <v>0</v>
      </c>
      <c r="V54" s="1">
        <f t="shared" si="47"/>
        <v>19.376</v>
      </c>
      <c r="W54" s="95">
        <f t="shared" si="48"/>
        <v>0.019</v>
      </c>
      <c r="X54" s="99">
        <f t="shared" si="35"/>
        <v>129.8489</v>
      </c>
      <c r="Y54" s="99"/>
      <c r="Z54" s="108">
        <v>91.9205</v>
      </c>
      <c r="AA54" s="105">
        <f t="shared" si="38"/>
        <v>37.9284</v>
      </c>
      <c r="AB54" s="106">
        <f t="shared" si="39"/>
        <v>41.2621776426368</v>
      </c>
      <c r="AD54" s="27" t="s">
        <v>133</v>
      </c>
      <c r="AE54" s="111">
        <v>18.3</v>
      </c>
      <c r="AF54" s="110">
        <f t="shared" si="36"/>
        <v>73.6205</v>
      </c>
      <c r="AG54" s="110">
        <f t="shared" si="37"/>
        <v>76.3760093995558</v>
      </c>
      <c r="IG54" s="46"/>
      <c r="IH54" s="46"/>
      <c r="II54" s="46"/>
      <c r="IJ54" s="46"/>
      <c r="IK54" s="46"/>
      <c r="IL54" s="46"/>
    </row>
    <row r="55" s="30" customFormat="1" ht="31" customHeight="1" spans="1:246">
      <c r="A55" s="27">
        <v>620005</v>
      </c>
      <c r="B55" s="27" t="s">
        <v>134</v>
      </c>
      <c r="C55" s="27">
        <f t="shared" si="40"/>
        <v>54.6732</v>
      </c>
      <c r="D55" s="66">
        <v>113</v>
      </c>
      <c r="E55" s="67">
        <f t="shared" si="27"/>
        <v>0.0057</v>
      </c>
      <c r="F55" s="27">
        <v>603</v>
      </c>
      <c r="G55" s="67">
        <f t="shared" si="41"/>
        <v>0.0115</v>
      </c>
      <c r="H55" s="72">
        <v>581</v>
      </c>
      <c r="I55" s="84">
        <f t="shared" si="42"/>
        <v>0.0145</v>
      </c>
      <c r="J55" s="85">
        <v>1</v>
      </c>
      <c r="K55" s="67">
        <f t="shared" si="43"/>
        <v>0.0001</v>
      </c>
      <c r="L55" s="91">
        <v>0</v>
      </c>
      <c r="M55" s="87">
        <f t="shared" si="44"/>
        <v>0</v>
      </c>
      <c r="N55" s="72">
        <v>5308.8348</v>
      </c>
      <c r="O55" s="67">
        <f t="shared" si="32"/>
        <v>0.0159</v>
      </c>
      <c r="P55" s="60">
        <v>0</v>
      </c>
      <c r="Q55" s="67">
        <f t="shared" si="45"/>
        <v>0</v>
      </c>
      <c r="R55" s="27">
        <v>2</v>
      </c>
      <c r="S55" s="67">
        <f t="shared" si="46"/>
        <v>0.0122</v>
      </c>
      <c r="T55" s="60">
        <v>0</v>
      </c>
      <c r="U55" s="67">
        <f t="shared" si="49"/>
        <v>0</v>
      </c>
      <c r="V55" s="1">
        <f t="shared" si="47"/>
        <v>8.039</v>
      </c>
      <c r="W55" s="95">
        <f t="shared" si="48"/>
        <v>0.008</v>
      </c>
      <c r="X55" s="99">
        <f t="shared" si="35"/>
        <v>54.6732</v>
      </c>
      <c r="Y55" s="99"/>
      <c r="Z55" s="108">
        <v>40.678</v>
      </c>
      <c r="AA55" s="105">
        <f t="shared" si="38"/>
        <v>13.9952</v>
      </c>
      <c r="AB55" s="106">
        <f t="shared" si="39"/>
        <v>34.4048379959684</v>
      </c>
      <c r="AD55" s="27" t="s">
        <v>134</v>
      </c>
      <c r="AE55" s="111">
        <v>16.5</v>
      </c>
      <c r="AF55" s="110">
        <f t="shared" si="36"/>
        <v>24.178</v>
      </c>
      <c r="AG55" s="110">
        <f t="shared" si="37"/>
        <v>126.127884854</v>
      </c>
      <c r="IG55" s="46"/>
      <c r="IH55" s="46"/>
      <c r="II55" s="46"/>
      <c r="IJ55" s="46"/>
      <c r="IK55" s="46"/>
      <c r="IL55" s="46"/>
    </row>
    <row r="56" s="30" customFormat="1" ht="31" customHeight="1" spans="1:246">
      <c r="A56" s="27">
        <v>620006</v>
      </c>
      <c r="B56" s="27" t="s">
        <v>135</v>
      </c>
      <c r="C56" s="27">
        <f t="shared" si="40"/>
        <v>54.6732</v>
      </c>
      <c r="D56" s="66">
        <v>158</v>
      </c>
      <c r="E56" s="67">
        <f t="shared" si="27"/>
        <v>0.008</v>
      </c>
      <c r="F56" s="27">
        <v>565</v>
      </c>
      <c r="G56" s="67">
        <f t="shared" si="41"/>
        <v>0.0108</v>
      </c>
      <c r="H56" s="72">
        <v>814</v>
      </c>
      <c r="I56" s="84">
        <f t="shared" si="42"/>
        <v>0.0204</v>
      </c>
      <c r="J56" s="85">
        <v>1</v>
      </c>
      <c r="K56" s="67">
        <f t="shared" si="43"/>
        <v>0.0001</v>
      </c>
      <c r="L56" s="91">
        <v>4</v>
      </c>
      <c r="M56" s="87">
        <f t="shared" si="44"/>
        <v>0.0001</v>
      </c>
      <c r="N56" s="72">
        <v>4612.228</v>
      </c>
      <c r="O56" s="67">
        <f t="shared" si="32"/>
        <v>0.0138</v>
      </c>
      <c r="P56" s="60">
        <v>0</v>
      </c>
      <c r="Q56" s="67">
        <f t="shared" si="45"/>
        <v>0</v>
      </c>
      <c r="R56" s="27">
        <v>2</v>
      </c>
      <c r="S56" s="67">
        <f t="shared" si="46"/>
        <v>0.0122</v>
      </c>
      <c r="T56" s="60">
        <v>0</v>
      </c>
      <c r="U56" s="67">
        <f t="shared" si="49"/>
        <v>0</v>
      </c>
      <c r="V56" s="1">
        <f t="shared" si="47"/>
        <v>8.482</v>
      </c>
      <c r="W56" s="95">
        <f t="shared" si="48"/>
        <v>0.008</v>
      </c>
      <c r="X56" s="99">
        <f t="shared" si="35"/>
        <v>54.6732</v>
      </c>
      <c r="Y56" s="99"/>
      <c r="Z56" s="108">
        <v>57.8145</v>
      </c>
      <c r="AA56" s="105">
        <f t="shared" si="38"/>
        <v>-3.1413</v>
      </c>
      <c r="AB56" s="106">
        <f t="shared" si="39"/>
        <v>-5.43341203331344</v>
      </c>
      <c r="AD56" s="27" t="s">
        <v>135</v>
      </c>
      <c r="AE56" s="111">
        <v>15.3</v>
      </c>
      <c r="AF56" s="110">
        <f t="shared" si="36"/>
        <v>42.5145</v>
      </c>
      <c r="AG56" s="110">
        <f t="shared" si="37"/>
        <v>28.5989485940091</v>
      </c>
      <c r="IG56" s="46"/>
      <c r="IH56" s="46"/>
      <c r="II56" s="46"/>
      <c r="IJ56" s="46"/>
      <c r="IK56" s="46"/>
      <c r="IL56" s="46"/>
    </row>
    <row r="57" s="30" customFormat="1" ht="31" customHeight="1" spans="1:246">
      <c r="A57" s="27">
        <v>621003</v>
      </c>
      <c r="B57" s="27" t="s">
        <v>136</v>
      </c>
      <c r="C57" s="27">
        <f t="shared" si="40"/>
        <v>123.0147</v>
      </c>
      <c r="D57" s="66">
        <v>1027</v>
      </c>
      <c r="E57" s="67">
        <f t="shared" si="27"/>
        <v>0.0518</v>
      </c>
      <c r="F57" s="27">
        <v>790</v>
      </c>
      <c r="G57" s="67">
        <f t="shared" si="41"/>
        <v>0.015</v>
      </c>
      <c r="H57" s="72">
        <v>680</v>
      </c>
      <c r="I57" s="84">
        <f t="shared" si="42"/>
        <v>0.017</v>
      </c>
      <c r="J57" s="85">
        <v>2</v>
      </c>
      <c r="K57" s="67">
        <f t="shared" si="43"/>
        <v>0.0002</v>
      </c>
      <c r="L57" s="91">
        <v>0</v>
      </c>
      <c r="M57" s="87">
        <f t="shared" si="44"/>
        <v>0</v>
      </c>
      <c r="N57" s="72">
        <v>6030.70416</v>
      </c>
      <c r="O57" s="67">
        <f t="shared" si="32"/>
        <v>0.0181</v>
      </c>
      <c r="P57" s="60">
        <v>0</v>
      </c>
      <c r="Q57" s="67">
        <f t="shared" si="45"/>
        <v>0</v>
      </c>
      <c r="R57" s="27">
        <v>2</v>
      </c>
      <c r="S57" s="67">
        <f t="shared" si="46"/>
        <v>0.0122</v>
      </c>
      <c r="T57" s="60">
        <v>0</v>
      </c>
      <c r="U57" s="67">
        <f t="shared" si="49"/>
        <v>0</v>
      </c>
      <c r="V57" s="1">
        <f t="shared" si="47"/>
        <v>18.498</v>
      </c>
      <c r="W57" s="95">
        <f t="shared" si="48"/>
        <v>0.018</v>
      </c>
      <c r="X57" s="99">
        <f t="shared" si="35"/>
        <v>123.0147</v>
      </c>
      <c r="Y57" s="99"/>
      <c r="Z57" s="108">
        <v>91.8975</v>
      </c>
      <c r="AA57" s="105">
        <f t="shared" si="38"/>
        <v>31.1172</v>
      </c>
      <c r="AB57" s="106">
        <f t="shared" si="39"/>
        <v>33.8607687913164</v>
      </c>
      <c r="AD57" s="27" t="s">
        <v>136</v>
      </c>
      <c r="AE57" s="111">
        <v>17.7</v>
      </c>
      <c r="AF57" s="110">
        <f t="shared" si="36"/>
        <v>74.1975</v>
      </c>
      <c r="AG57" s="110">
        <f t="shared" si="37"/>
        <v>65.7935914282827</v>
      </c>
      <c r="IG57" s="46"/>
      <c r="IH57" s="46"/>
      <c r="II57" s="46"/>
      <c r="IJ57" s="46"/>
      <c r="IK57" s="46"/>
      <c r="IL57" s="46"/>
    </row>
    <row r="58" s="30" customFormat="1" ht="31" customHeight="1" spans="1:246">
      <c r="A58" s="27">
        <v>621004</v>
      </c>
      <c r="B58" s="27" t="s">
        <v>137</v>
      </c>
      <c r="C58" s="27">
        <f t="shared" si="40"/>
        <v>41.0049</v>
      </c>
      <c r="D58" s="66">
        <v>89</v>
      </c>
      <c r="E58" s="67">
        <f t="shared" si="27"/>
        <v>0.0045</v>
      </c>
      <c r="F58" s="27">
        <v>654</v>
      </c>
      <c r="G58" s="67">
        <f t="shared" si="41"/>
        <v>0.0124</v>
      </c>
      <c r="H58" s="72">
        <v>316</v>
      </c>
      <c r="I58" s="84">
        <f t="shared" si="42"/>
        <v>0.0079</v>
      </c>
      <c r="J58" s="85">
        <v>1</v>
      </c>
      <c r="K58" s="67">
        <f t="shared" si="43"/>
        <v>0.0001</v>
      </c>
      <c r="L58" s="91">
        <v>4</v>
      </c>
      <c r="M58" s="87">
        <f t="shared" si="44"/>
        <v>0.0001</v>
      </c>
      <c r="N58" s="72">
        <v>3026.99436</v>
      </c>
      <c r="O58" s="67">
        <f t="shared" si="32"/>
        <v>0.0091</v>
      </c>
      <c r="P58" s="60">
        <v>0</v>
      </c>
      <c r="Q58" s="67">
        <f t="shared" si="45"/>
        <v>0</v>
      </c>
      <c r="R58" s="27">
        <v>4</v>
      </c>
      <c r="S58" s="67">
        <f t="shared" si="46"/>
        <v>0.0244</v>
      </c>
      <c r="T58" s="60">
        <v>0</v>
      </c>
      <c r="U58" s="67">
        <f t="shared" si="49"/>
        <v>0</v>
      </c>
      <c r="V58" s="1">
        <f t="shared" si="47"/>
        <v>6.229</v>
      </c>
      <c r="W58" s="95">
        <f t="shared" si="48"/>
        <v>0.006</v>
      </c>
      <c r="X58" s="99">
        <f t="shared" si="35"/>
        <v>41.0049</v>
      </c>
      <c r="Y58" s="99"/>
      <c r="Z58" s="108">
        <v>28.395</v>
      </c>
      <c r="AA58" s="105">
        <f t="shared" si="38"/>
        <v>12.6099</v>
      </c>
      <c r="AB58" s="106">
        <f t="shared" si="39"/>
        <v>44.4088748019017</v>
      </c>
      <c r="AD58" s="27" t="s">
        <v>137</v>
      </c>
      <c r="AE58" s="111">
        <v>13.5</v>
      </c>
      <c r="AF58" s="110">
        <f t="shared" si="36"/>
        <v>14.895</v>
      </c>
      <c r="AG58" s="110">
        <f t="shared" si="37"/>
        <v>175.293051359517</v>
      </c>
      <c r="IG58" s="46"/>
      <c r="IH58" s="46"/>
      <c r="II58" s="46"/>
      <c r="IJ58" s="46"/>
      <c r="IK58" s="46"/>
      <c r="IL58" s="46"/>
    </row>
    <row r="59" spans="1:19">
      <c r="A59" s="73"/>
      <c r="B59" s="73"/>
      <c r="C59" s="74"/>
      <c r="D59" s="73"/>
      <c r="E59" s="73"/>
      <c r="P59" s="60">
        <v>0</v>
      </c>
      <c r="R59" s="73"/>
      <c r="S59" s="73"/>
    </row>
  </sheetData>
  <mergeCells count="22">
    <mergeCell ref="A2:X2"/>
    <mergeCell ref="D4:E4"/>
    <mergeCell ref="F4:G4"/>
    <mergeCell ref="H4:I4"/>
    <mergeCell ref="J4:K4"/>
    <mergeCell ref="L4:M4"/>
    <mergeCell ref="N4:Q4"/>
    <mergeCell ref="R4:S4"/>
    <mergeCell ref="T4:U4"/>
    <mergeCell ref="A7:B7"/>
    <mergeCell ref="A8:B8"/>
    <mergeCell ref="A23:B23"/>
    <mergeCell ref="A4:A6"/>
    <mergeCell ref="B4:B6"/>
    <mergeCell ref="C4:C5"/>
    <mergeCell ref="V4:V5"/>
    <mergeCell ref="W4:W5"/>
    <mergeCell ref="X4:X5"/>
    <mergeCell ref="Y4:Y6"/>
    <mergeCell ref="Z4:Z6"/>
    <mergeCell ref="AA4:AA6"/>
    <mergeCell ref="AB4:AB6"/>
  </mergeCells>
  <pageMargins left="0.751388888888889" right="0.751388888888889" top="1" bottom="1" header="0.511805555555556" footer="0.511805555555556"/>
  <pageSetup paperSize="8" scale="60" orientation="landscape" horizontalDpi="600"/>
  <headerFooter>
    <oddFooter>&amp;C第 &amp;P 页，共 &amp;N 页</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6"/>
  <sheetViews>
    <sheetView topLeftCell="A13" workbookViewId="0">
      <selection activeCell="B33" sqref="B33:I36"/>
    </sheetView>
  </sheetViews>
  <sheetFormatPr defaultColWidth="8.89166666666667" defaultRowHeight="13.5"/>
  <cols>
    <col min="2" max="2" width="93.4416666666667" customWidth="1"/>
  </cols>
  <sheetData>
    <row r="1" s="2" customFormat="1" ht="153" customHeight="1" spans="2:2">
      <c r="B1" s="3" t="s">
        <v>333</v>
      </c>
    </row>
    <row r="4" ht="40.5" spans="2:9">
      <c r="B4" s="4" t="s">
        <v>334</v>
      </c>
      <c r="C4" s="4" t="s">
        <v>335</v>
      </c>
      <c r="D4" s="5" t="s">
        <v>336</v>
      </c>
      <c r="E4" s="5" t="s">
        <v>337</v>
      </c>
      <c r="F4" s="5" t="s">
        <v>338</v>
      </c>
      <c r="G4" s="5" t="s">
        <v>339</v>
      </c>
      <c r="H4" s="4" t="s">
        <v>340</v>
      </c>
      <c r="I4" s="28" t="s">
        <v>341</v>
      </c>
    </row>
    <row r="5" ht="81" spans="2:9">
      <c r="B5" s="6" t="s">
        <v>342</v>
      </c>
      <c r="C5" s="7" t="s">
        <v>343</v>
      </c>
      <c r="D5" s="8" t="s">
        <v>344</v>
      </c>
      <c r="E5" s="9" t="s">
        <v>345</v>
      </c>
      <c r="F5" s="8">
        <v>70</v>
      </c>
      <c r="G5" s="8">
        <v>2</v>
      </c>
      <c r="H5" s="10">
        <v>550</v>
      </c>
      <c r="I5" s="29">
        <f t="shared" ref="I5:I10" si="0">+F5*G5*H5</f>
        <v>77000</v>
      </c>
    </row>
    <row r="6" ht="121.5" spans="2:9">
      <c r="B6" s="11"/>
      <c r="C6" s="12"/>
      <c r="D6" s="9" t="s">
        <v>346</v>
      </c>
      <c r="E6" s="9" t="s">
        <v>347</v>
      </c>
      <c r="F6" s="8">
        <v>70</v>
      </c>
      <c r="G6" s="8">
        <v>2</v>
      </c>
      <c r="H6" s="10">
        <v>550</v>
      </c>
      <c r="I6" s="29">
        <f t="shared" si="0"/>
        <v>77000</v>
      </c>
    </row>
    <row r="7" ht="67.5" spans="2:9">
      <c r="B7" s="11"/>
      <c r="C7" s="12"/>
      <c r="D7" s="8" t="s">
        <v>348</v>
      </c>
      <c r="E7" s="8" t="s">
        <v>349</v>
      </c>
      <c r="F7" s="8">
        <v>110</v>
      </c>
      <c r="G7" s="8">
        <v>2</v>
      </c>
      <c r="H7" s="10">
        <v>550</v>
      </c>
      <c r="I7" s="29">
        <f t="shared" si="0"/>
        <v>121000</v>
      </c>
    </row>
    <row r="8" ht="67.5" spans="2:9">
      <c r="B8" s="11"/>
      <c r="C8" s="12"/>
      <c r="D8" s="8" t="s">
        <v>350</v>
      </c>
      <c r="E8" s="8" t="s">
        <v>351</v>
      </c>
      <c r="F8" s="8">
        <v>50</v>
      </c>
      <c r="G8" s="8">
        <v>1</v>
      </c>
      <c r="H8" s="10">
        <v>550</v>
      </c>
      <c r="I8" s="29">
        <f t="shared" si="0"/>
        <v>27500</v>
      </c>
    </row>
    <row r="9" ht="67.5" spans="2:9">
      <c r="B9" s="11"/>
      <c r="C9" s="12"/>
      <c r="D9" s="8" t="s">
        <v>352</v>
      </c>
      <c r="E9" s="8" t="s">
        <v>353</v>
      </c>
      <c r="F9" s="8">
        <v>150</v>
      </c>
      <c r="G9" s="8">
        <v>2</v>
      </c>
      <c r="H9" s="10">
        <v>550</v>
      </c>
      <c r="I9" s="29">
        <f t="shared" si="0"/>
        <v>165000</v>
      </c>
    </row>
    <row r="10" ht="54.75" spans="2:9">
      <c r="B10" s="13"/>
      <c r="C10" s="14"/>
      <c r="D10" s="9" t="s">
        <v>354</v>
      </c>
      <c r="E10" s="8" t="s">
        <v>353</v>
      </c>
      <c r="F10" s="8">
        <v>400</v>
      </c>
      <c r="G10" s="8">
        <v>2</v>
      </c>
      <c r="H10" s="10">
        <v>550</v>
      </c>
      <c r="I10" s="29">
        <f t="shared" si="0"/>
        <v>440000</v>
      </c>
    </row>
    <row r="14" spans="2:8">
      <c r="B14" s="15" t="s">
        <v>355</v>
      </c>
      <c r="C14" s="16" t="s">
        <v>82</v>
      </c>
      <c r="D14" s="16" t="s">
        <v>356</v>
      </c>
      <c r="E14" s="16" t="s">
        <v>357</v>
      </c>
      <c r="F14" s="16" t="s">
        <v>358</v>
      </c>
      <c r="G14" s="16" t="s">
        <v>359</v>
      </c>
      <c r="H14" s="16" t="s">
        <v>360</v>
      </c>
    </row>
    <row r="15" ht="409.5" spans="2:8">
      <c r="B15" s="17" t="s">
        <v>361</v>
      </c>
      <c r="C15" s="18">
        <v>10</v>
      </c>
      <c r="D15" s="19" t="s">
        <v>362</v>
      </c>
      <c r="E15" s="18"/>
      <c r="F15" s="18">
        <v>0</v>
      </c>
      <c r="G15" s="18">
        <v>0</v>
      </c>
      <c r="H15" s="18">
        <v>0</v>
      </c>
    </row>
    <row r="16" ht="216" spans="2:8">
      <c r="B16" s="17" t="s">
        <v>363</v>
      </c>
      <c r="C16" s="18">
        <v>6.36</v>
      </c>
      <c r="D16" s="18">
        <v>0</v>
      </c>
      <c r="E16" s="19" t="s">
        <v>364</v>
      </c>
      <c r="F16" s="19" t="s">
        <v>365</v>
      </c>
      <c r="G16" s="19" t="s">
        <v>366</v>
      </c>
      <c r="H16" s="18">
        <v>0</v>
      </c>
    </row>
    <row r="17" ht="132" spans="2:8">
      <c r="B17" s="17" t="s">
        <v>367</v>
      </c>
      <c r="C17" s="18">
        <v>1</v>
      </c>
      <c r="D17" s="18"/>
      <c r="E17" s="19" t="s">
        <v>364</v>
      </c>
      <c r="F17" s="19"/>
      <c r="G17" s="19"/>
      <c r="H17" s="18"/>
    </row>
    <row r="18" ht="132" spans="2:8">
      <c r="B18" s="20" t="s">
        <v>368</v>
      </c>
      <c r="C18" s="18">
        <v>1</v>
      </c>
      <c r="D18" s="18"/>
      <c r="E18" s="19" t="s">
        <v>364</v>
      </c>
      <c r="F18" s="19"/>
      <c r="G18" s="19"/>
      <c r="H18" s="18"/>
    </row>
    <row r="19" ht="252" spans="2:8">
      <c r="B19" s="17" t="s">
        <v>369</v>
      </c>
      <c r="C19" s="18">
        <v>1</v>
      </c>
      <c r="D19" s="18">
        <v>0</v>
      </c>
      <c r="E19" s="18"/>
      <c r="F19" s="18">
        <v>0</v>
      </c>
      <c r="G19" s="18">
        <v>0</v>
      </c>
      <c r="H19" s="19" t="s">
        <v>370</v>
      </c>
    </row>
    <row r="21" ht="40.5" spans="2:9">
      <c r="B21" s="4" t="s">
        <v>334</v>
      </c>
      <c r="C21" s="4" t="s">
        <v>335</v>
      </c>
      <c r="D21" s="5" t="s">
        <v>336</v>
      </c>
      <c r="E21" s="5" t="s">
        <v>337</v>
      </c>
      <c r="F21" s="5" t="s">
        <v>338</v>
      </c>
      <c r="G21" s="5" t="s">
        <v>339</v>
      </c>
      <c r="H21" s="4" t="s">
        <v>340</v>
      </c>
      <c r="I21" s="28" t="s">
        <v>341</v>
      </c>
    </row>
    <row r="22" spans="2:9">
      <c r="B22" s="6" t="s">
        <v>371</v>
      </c>
      <c r="C22" s="7" t="s">
        <v>372</v>
      </c>
      <c r="D22" s="21" t="s">
        <v>373</v>
      </c>
      <c r="E22" s="22" t="s">
        <v>374</v>
      </c>
      <c r="F22" s="23">
        <v>70</v>
      </c>
      <c r="G22" s="23">
        <v>2</v>
      </c>
      <c r="H22" s="10">
        <v>550</v>
      </c>
      <c r="I22" s="29">
        <f t="shared" ref="I22:I26" si="1">+F22*G22*H22</f>
        <v>77000</v>
      </c>
    </row>
    <row r="23" spans="2:9">
      <c r="B23" s="11"/>
      <c r="C23" s="12"/>
      <c r="D23" s="21" t="s">
        <v>375</v>
      </c>
      <c r="E23" s="22" t="s">
        <v>374</v>
      </c>
      <c r="F23" s="23">
        <v>98</v>
      </c>
      <c r="G23" s="23">
        <v>2</v>
      </c>
      <c r="H23" s="10">
        <v>550</v>
      </c>
      <c r="I23" s="29">
        <f t="shared" si="1"/>
        <v>107800</v>
      </c>
    </row>
    <row r="24" spans="2:9">
      <c r="B24" s="11"/>
      <c r="C24" s="12"/>
      <c r="D24" s="24" t="s">
        <v>376</v>
      </c>
      <c r="E24" s="22" t="s">
        <v>374</v>
      </c>
      <c r="F24" s="23">
        <v>150</v>
      </c>
      <c r="G24" s="23">
        <v>3</v>
      </c>
      <c r="H24" s="10">
        <v>550</v>
      </c>
      <c r="I24" s="29">
        <f t="shared" si="1"/>
        <v>247500</v>
      </c>
    </row>
    <row r="25" spans="2:9">
      <c r="B25" s="11"/>
      <c r="C25" s="12"/>
      <c r="D25" s="24" t="s">
        <v>377</v>
      </c>
      <c r="E25" s="22" t="s">
        <v>374</v>
      </c>
      <c r="F25" s="23">
        <v>30</v>
      </c>
      <c r="G25" s="23">
        <v>3</v>
      </c>
      <c r="H25" s="10">
        <v>550</v>
      </c>
      <c r="I25" s="29">
        <f t="shared" si="1"/>
        <v>49500</v>
      </c>
    </row>
    <row r="26" spans="2:9">
      <c r="B26" s="13"/>
      <c r="C26" s="14"/>
      <c r="D26" s="24" t="s">
        <v>378</v>
      </c>
      <c r="E26" s="22" t="s">
        <v>374</v>
      </c>
      <c r="F26" s="23">
        <v>50</v>
      </c>
      <c r="G26" s="23">
        <v>3</v>
      </c>
      <c r="H26" s="10">
        <v>550</v>
      </c>
      <c r="I26" s="29">
        <f t="shared" si="1"/>
        <v>82500</v>
      </c>
    </row>
    <row r="29" ht="40.5" spans="2:10">
      <c r="B29" s="25"/>
      <c r="C29" s="4" t="s">
        <v>334</v>
      </c>
      <c r="D29" s="4" t="s">
        <v>335</v>
      </c>
      <c r="E29" s="5" t="s">
        <v>336</v>
      </c>
      <c r="F29" s="5" t="s">
        <v>337</v>
      </c>
      <c r="G29" s="5" t="s">
        <v>338</v>
      </c>
      <c r="H29" s="5" t="s">
        <v>339</v>
      </c>
      <c r="I29" s="4" t="s">
        <v>340</v>
      </c>
      <c r="J29" s="28" t="s">
        <v>341</v>
      </c>
    </row>
    <row r="30" ht="40.5" spans="2:10">
      <c r="B30" s="25"/>
      <c r="C30" s="26" t="s">
        <v>379</v>
      </c>
      <c r="D30" s="27" t="s">
        <v>380</v>
      </c>
      <c r="E30" s="8" t="s">
        <v>381</v>
      </c>
      <c r="F30" s="8" t="s">
        <v>382</v>
      </c>
      <c r="G30" s="8">
        <v>50</v>
      </c>
      <c r="H30" s="8">
        <v>2</v>
      </c>
      <c r="I30" s="10">
        <v>550</v>
      </c>
      <c r="J30" s="29">
        <f>+G30*H30*I30</f>
        <v>55000</v>
      </c>
    </row>
    <row r="31" ht="40.5" spans="2:10">
      <c r="B31" s="25"/>
      <c r="C31" s="26" t="s">
        <v>383</v>
      </c>
      <c r="D31" s="27" t="s">
        <v>384</v>
      </c>
      <c r="E31" s="23" t="s">
        <v>385</v>
      </c>
      <c r="F31" s="8" t="s">
        <v>382</v>
      </c>
      <c r="G31" s="23">
        <v>70</v>
      </c>
      <c r="H31" s="23">
        <v>3</v>
      </c>
      <c r="I31" s="10">
        <v>550</v>
      </c>
      <c r="J31" s="29">
        <f>+G31*H31*I31</f>
        <v>115500</v>
      </c>
    </row>
    <row r="33" ht="40.5" spans="2:9">
      <c r="B33" s="4" t="s">
        <v>334</v>
      </c>
      <c r="C33" s="4" t="s">
        <v>335</v>
      </c>
      <c r="D33" s="5" t="s">
        <v>336</v>
      </c>
      <c r="E33" s="5" t="s">
        <v>337</v>
      </c>
      <c r="F33" s="5" t="s">
        <v>338</v>
      </c>
      <c r="G33" s="5" t="s">
        <v>339</v>
      </c>
      <c r="H33" s="4" t="s">
        <v>340</v>
      </c>
      <c r="I33" s="28" t="s">
        <v>341</v>
      </c>
    </row>
    <row r="34" ht="54" spans="2:9">
      <c r="B34" s="6" t="s">
        <v>386</v>
      </c>
      <c r="C34" s="7" t="s">
        <v>387</v>
      </c>
      <c r="D34" s="8" t="s">
        <v>388</v>
      </c>
      <c r="E34" s="8" t="s">
        <v>389</v>
      </c>
      <c r="F34" s="23">
        <v>50</v>
      </c>
      <c r="G34" s="23">
        <v>2</v>
      </c>
      <c r="H34" s="10">
        <v>550</v>
      </c>
      <c r="I34" s="29">
        <f t="shared" ref="I34:I36" si="2">+F34*G34*H34</f>
        <v>55000</v>
      </c>
    </row>
    <row r="35" ht="54" spans="2:9">
      <c r="B35" s="11"/>
      <c r="C35" s="12"/>
      <c r="D35" s="8" t="s">
        <v>390</v>
      </c>
      <c r="E35" s="8" t="s">
        <v>391</v>
      </c>
      <c r="F35" s="23">
        <v>18</v>
      </c>
      <c r="G35" s="23">
        <v>2</v>
      </c>
      <c r="H35" s="10">
        <v>550</v>
      </c>
      <c r="I35" s="29">
        <f t="shared" si="2"/>
        <v>19800</v>
      </c>
    </row>
    <row r="36" ht="67.5" spans="2:9">
      <c r="B36" s="13"/>
      <c r="C36" s="14"/>
      <c r="D36" s="8" t="s">
        <v>392</v>
      </c>
      <c r="E36" s="8" t="s">
        <v>393</v>
      </c>
      <c r="F36" s="23">
        <v>30</v>
      </c>
      <c r="G36" s="23">
        <v>4</v>
      </c>
      <c r="H36" s="10">
        <v>550</v>
      </c>
      <c r="I36" s="29">
        <f t="shared" si="2"/>
        <v>66000</v>
      </c>
    </row>
  </sheetData>
  <mergeCells count="6">
    <mergeCell ref="B5:B10"/>
    <mergeCell ref="B22:B26"/>
    <mergeCell ref="B34:B36"/>
    <mergeCell ref="C5:C10"/>
    <mergeCell ref="C22:C26"/>
    <mergeCell ref="C34:C36"/>
  </mergeCells>
  <pageMargins left="0.75" right="0.75" top="1" bottom="1" header="0.511805555555556" footer="0.511805555555556"/>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C2:J11"/>
  <sheetViews>
    <sheetView workbookViewId="0">
      <selection activeCell="G8" sqref="G8"/>
    </sheetView>
  </sheetViews>
  <sheetFormatPr defaultColWidth="8.89166666666667" defaultRowHeight="13.5"/>
  <cols>
    <col min="3" max="3" width="13.1083333333333" customWidth="1"/>
    <col min="4" max="4" width="12.225" customWidth="1"/>
    <col min="10" max="11" width="12.8916666666667"/>
  </cols>
  <sheetData>
    <row r="2" ht="142.5" spans="3:3">
      <c r="C2" s="1" t="s">
        <v>394</v>
      </c>
    </row>
    <row r="3" spans="3:10">
      <c r="C3">
        <v>3</v>
      </c>
      <c r="D3" t="s">
        <v>302</v>
      </c>
      <c r="E3">
        <v>3</v>
      </c>
      <c r="G3">
        <v>3</v>
      </c>
      <c r="H3">
        <v>3</v>
      </c>
      <c r="I3" t="s">
        <v>302</v>
      </c>
      <c r="J3">
        <v>3</v>
      </c>
    </row>
    <row r="4" spans="3:10">
      <c r="C4">
        <v>5</v>
      </c>
      <c r="D4" t="s">
        <v>395</v>
      </c>
      <c r="E4">
        <v>20</v>
      </c>
      <c r="G4">
        <v>5</v>
      </c>
      <c r="H4">
        <v>5</v>
      </c>
      <c r="I4" t="s">
        <v>395</v>
      </c>
      <c r="J4">
        <v>20</v>
      </c>
    </row>
    <row r="5" spans="3:10">
      <c r="C5">
        <v>7</v>
      </c>
      <c r="D5" t="s">
        <v>301</v>
      </c>
      <c r="E5">
        <v>19</v>
      </c>
      <c r="G5">
        <v>13</v>
      </c>
      <c r="H5">
        <v>7</v>
      </c>
      <c r="I5" t="s">
        <v>396</v>
      </c>
      <c r="J5">
        <v>15</v>
      </c>
    </row>
    <row r="6" spans="3:10">
      <c r="C6">
        <v>9</v>
      </c>
      <c r="D6" t="s">
        <v>397</v>
      </c>
      <c r="E6">
        <v>22</v>
      </c>
      <c r="G6">
        <v>17</v>
      </c>
      <c r="H6">
        <v>9</v>
      </c>
      <c r="I6" t="s">
        <v>398</v>
      </c>
      <c r="J6">
        <v>9</v>
      </c>
    </row>
    <row r="7" spans="3:10">
      <c r="C7">
        <v>11</v>
      </c>
      <c r="D7" t="s">
        <v>399</v>
      </c>
      <c r="E7">
        <v>4</v>
      </c>
      <c r="G7">
        <v>19</v>
      </c>
      <c r="H7">
        <v>11</v>
      </c>
      <c r="I7" t="s">
        <v>400</v>
      </c>
      <c r="J7">
        <v>5</v>
      </c>
    </row>
    <row r="8" spans="3:10">
      <c r="C8">
        <v>13</v>
      </c>
      <c r="D8" t="s">
        <v>396</v>
      </c>
      <c r="E8">
        <v>15</v>
      </c>
      <c r="G8">
        <v>7</v>
      </c>
      <c r="H8">
        <v>13</v>
      </c>
      <c r="I8" t="s">
        <v>301</v>
      </c>
      <c r="J8">
        <v>19</v>
      </c>
    </row>
    <row r="9" spans="3:10">
      <c r="C9">
        <v>15</v>
      </c>
      <c r="D9" t="s">
        <v>401</v>
      </c>
      <c r="E9">
        <v>3</v>
      </c>
      <c r="G9">
        <v>9</v>
      </c>
      <c r="H9">
        <v>15</v>
      </c>
      <c r="I9" t="s">
        <v>397</v>
      </c>
      <c r="J9">
        <v>22</v>
      </c>
    </row>
    <row r="10" spans="3:10">
      <c r="C10">
        <v>17</v>
      </c>
      <c r="D10" t="s">
        <v>398</v>
      </c>
      <c r="E10">
        <v>9</v>
      </c>
      <c r="G10">
        <v>11</v>
      </c>
      <c r="H10">
        <v>17</v>
      </c>
      <c r="I10" t="s">
        <v>399</v>
      </c>
      <c r="J10">
        <v>4</v>
      </c>
    </row>
    <row r="11" spans="3:10">
      <c r="C11">
        <v>19</v>
      </c>
      <c r="D11" t="s">
        <v>400</v>
      </c>
      <c r="E11">
        <v>5</v>
      </c>
      <c r="G11">
        <v>15</v>
      </c>
      <c r="H11">
        <v>19</v>
      </c>
      <c r="I11" t="s">
        <v>401</v>
      </c>
      <c r="J11">
        <v>3</v>
      </c>
    </row>
  </sheetData>
  <pageMargins left="0.75" right="0.75"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总表 </vt:lpstr>
      <vt:lpstr>总表（分项目）</vt:lpstr>
      <vt:lpstr>市县</vt:lpstr>
      <vt:lpstr>不要-附件15市县（非珠）</vt:lpstr>
      <vt:lpstr>材料</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龙玉珊</dc:creator>
  <cp:lastModifiedBy>黄惠婷</cp:lastModifiedBy>
  <dcterms:created xsi:type="dcterms:W3CDTF">2018-09-17T01:26:00Z</dcterms:created>
  <dcterms:modified xsi:type="dcterms:W3CDTF">2021-12-19T09:47:58Z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2052-10.8.2.6666</vt:lpwstr>
  </property>
</Properties>
</file>