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60" windowHeight="8135" tabRatio="671" activeTab="0"/>
  </bookViews>
  <sheets>
    <sheet name="2021年资金分配表" sheetId="1" r:id="rId1"/>
    <sheet name="补助标准1" sheetId="2" r:id="rId2"/>
    <sheet name="目标人群测算表1" sheetId="3" state="hidden" r:id="rId3"/>
    <sheet name="资金测算表1" sheetId="4" state="hidden" r:id="rId4"/>
    <sheet name="2019年需方实际补助明细" sheetId="5" state="hidden" r:id="rId5"/>
    <sheet name="2019年结算表" sheetId="6" state="hidden" r:id="rId6"/>
  </sheets>
  <definedNames>
    <definedName name="_xlnm.Print_Titles" localSheetId="0">'2021年资金分配表'!$4:$7</definedName>
    <definedName name="_xlnm.Print_Area" localSheetId="2">'目标人群测算表1'!$A$1:$N$153</definedName>
    <definedName name="_xlnm.Print_Titles" localSheetId="4">'2019年需方实际补助明细'!$5:$7</definedName>
    <definedName name="_xlnm.Print_Titles" localSheetId="5">'2019年结算表'!$3:$6</definedName>
    <definedName name="_xlnm.Print_Titles" localSheetId="2">'目标人群测算表1'!$4:$6</definedName>
    <definedName name="_xlnm.Print_Titles" localSheetId="1">'补助标准1'!$3:$5</definedName>
  </definedNames>
  <calcPr fullCalcOnLoad="1"/>
</workbook>
</file>

<file path=xl/sharedStrings.xml><?xml version="1.0" encoding="utf-8"?>
<sst xmlns="http://schemas.openxmlformats.org/spreadsheetml/2006/main" count="994" uniqueCount="421">
  <si>
    <t>附件2</t>
  </si>
  <si>
    <t>2021年出生缺陷综合防控项目资金分配明细表</t>
  </si>
  <si>
    <t>金额：万元</t>
  </si>
  <si>
    <t>预算编号</t>
  </si>
  <si>
    <t>地区</t>
  </si>
  <si>
    <t>2021年应补助金额</t>
  </si>
  <si>
    <t>结算2019年需方补助资金</t>
  </si>
  <si>
    <t>2018年以前待结算(粤财社〔2019〕276号)</t>
  </si>
  <si>
    <t>结算后补助资金</t>
  </si>
  <si>
    <t>以后年度待结算金额</t>
  </si>
  <si>
    <t>2021年实际下达金额</t>
  </si>
  <si>
    <t>需方补助</t>
  </si>
  <si>
    <t>供方补助</t>
  </si>
  <si>
    <t>补助金额</t>
  </si>
  <si>
    <t>预算资金</t>
  </si>
  <si>
    <t>实际支出</t>
  </si>
  <si>
    <t>2019年结余金额</t>
  </si>
  <si>
    <t>产前筛查及诊断需方补助目标人群预测数</t>
  </si>
  <si>
    <t>新生儿筛查需方补助目标人群预测数</t>
  </si>
  <si>
    <t>预算金额</t>
  </si>
  <si>
    <t>地贫防控</t>
  </si>
  <si>
    <t>出生缺陷</t>
  </si>
  <si>
    <t>栏次</t>
  </si>
  <si>
    <t>[1]</t>
  </si>
  <si>
    <t>[2]</t>
  </si>
  <si>
    <t>[3]=（[1]*370+[2]*130）/10000</t>
  </si>
  <si>
    <t>[4]</t>
  </si>
  <si>
    <t>[5]=[3]+[4]</t>
  </si>
  <si>
    <t>[6]</t>
  </si>
  <si>
    <t>[7]</t>
  </si>
  <si>
    <t>[8]</t>
  </si>
  <si>
    <t>[9]</t>
  </si>
  <si>
    <t>[10]=[6]+[7]-[8]-[9]</t>
  </si>
  <si>
    <t>[11]</t>
  </si>
  <si>
    <t>[12]=[5]-[10]+[11]</t>
  </si>
  <si>
    <t>[13]</t>
  </si>
  <si>
    <t>[14]=[12]-[13]</t>
  </si>
  <si>
    <t>合计</t>
  </si>
  <si>
    <t>省本级小计</t>
  </si>
  <si>
    <t>省妇幼保健院</t>
  </si>
  <si>
    <t>地市小计</t>
  </si>
  <si>
    <t>汕头市</t>
  </si>
  <si>
    <t>汕头市本级</t>
  </si>
  <si>
    <t>金平区</t>
  </si>
  <si>
    <t>龙湖区</t>
  </si>
  <si>
    <t>澄海区</t>
  </si>
  <si>
    <t>濠江区</t>
  </si>
  <si>
    <t>潮阳区</t>
  </si>
  <si>
    <t>潮南区</t>
  </si>
  <si>
    <t>南澳县</t>
  </si>
  <si>
    <t>韶关市</t>
  </si>
  <si>
    <t>韶关市本级</t>
  </si>
  <si>
    <t>浈江区</t>
  </si>
  <si>
    <t>武江区</t>
  </si>
  <si>
    <t>曲江区</t>
  </si>
  <si>
    <t>乐昌市</t>
  </si>
  <si>
    <t>南雄市</t>
  </si>
  <si>
    <t>仁化县</t>
  </si>
  <si>
    <t>始兴县</t>
  </si>
  <si>
    <t>翁源县</t>
  </si>
  <si>
    <t>新丰县</t>
  </si>
  <si>
    <t>乳源瑶族自治县</t>
  </si>
  <si>
    <t>河源市</t>
  </si>
  <si>
    <t>河源市本级</t>
  </si>
  <si>
    <t>源城区</t>
  </si>
  <si>
    <t>东源县</t>
  </si>
  <si>
    <t>和平县</t>
  </si>
  <si>
    <t>龙川县</t>
  </si>
  <si>
    <t>紫金县</t>
  </si>
  <si>
    <t>连平县</t>
  </si>
  <si>
    <t>梅州市</t>
  </si>
  <si>
    <t>梅州市本级</t>
  </si>
  <si>
    <t>梅江区</t>
  </si>
  <si>
    <t>兴宁市</t>
  </si>
  <si>
    <t>梅县区</t>
  </si>
  <si>
    <t>平远县</t>
  </si>
  <si>
    <t>蕉岭县</t>
  </si>
  <si>
    <t>大埔县</t>
  </si>
  <si>
    <t>丰顺县</t>
  </si>
  <si>
    <t>五华县</t>
  </si>
  <si>
    <t>惠州市</t>
  </si>
  <si>
    <t>惠州市本级</t>
  </si>
  <si>
    <t>惠城区</t>
  </si>
  <si>
    <t>惠阳区</t>
  </si>
  <si>
    <t>惠东县</t>
  </si>
  <si>
    <t>博罗县</t>
  </si>
  <si>
    <t>龙门县</t>
  </si>
  <si>
    <t>汕尾市</t>
  </si>
  <si>
    <t>汕尾市本级</t>
  </si>
  <si>
    <t>城区</t>
  </si>
  <si>
    <t>陆丰市</t>
  </si>
  <si>
    <t>海丰县</t>
  </si>
  <si>
    <t>陆河县</t>
  </si>
  <si>
    <t>江门市</t>
  </si>
  <si>
    <t>江门市本级</t>
  </si>
  <si>
    <t>台山市</t>
  </si>
  <si>
    <t>开平市</t>
  </si>
  <si>
    <t>恩平市</t>
  </si>
  <si>
    <t>阳江市</t>
  </si>
  <si>
    <t>阳江市本级</t>
  </si>
  <si>
    <t>江城区</t>
  </si>
  <si>
    <t>阳春市</t>
  </si>
  <si>
    <t>阳东区</t>
  </si>
  <si>
    <t>阳西县</t>
  </si>
  <si>
    <t>湛江市</t>
  </si>
  <si>
    <t>湛江市本级</t>
  </si>
  <si>
    <t>赤坎区</t>
  </si>
  <si>
    <t>霞山区</t>
  </si>
  <si>
    <t>麻章区</t>
  </si>
  <si>
    <t>坡头区</t>
  </si>
  <si>
    <t>雷州市</t>
  </si>
  <si>
    <t>廉江市</t>
  </si>
  <si>
    <t>吴川市</t>
  </si>
  <si>
    <t>遂溪县</t>
  </si>
  <si>
    <t>徐闻县</t>
  </si>
  <si>
    <t>茂名市</t>
  </si>
  <si>
    <t>茂名市本级</t>
  </si>
  <si>
    <t>茂南区</t>
  </si>
  <si>
    <t>信宜市</t>
  </si>
  <si>
    <t>高州市</t>
  </si>
  <si>
    <t>化州市</t>
  </si>
  <si>
    <t>电白区</t>
  </si>
  <si>
    <t>肇庆市</t>
  </si>
  <si>
    <t>肇庆市本级</t>
  </si>
  <si>
    <t>端州区</t>
  </si>
  <si>
    <t>鼎湖区</t>
  </si>
  <si>
    <t>四会市</t>
  </si>
  <si>
    <t>高要区</t>
  </si>
  <si>
    <t>广宁县</t>
  </si>
  <si>
    <t>德庆县</t>
  </si>
  <si>
    <t>封开县</t>
  </si>
  <si>
    <t>怀集县</t>
  </si>
  <si>
    <t>清远市</t>
  </si>
  <si>
    <t>清远市本级</t>
  </si>
  <si>
    <t>清城区</t>
  </si>
  <si>
    <t>清新区</t>
  </si>
  <si>
    <t>英德市</t>
  </si>
  <si>
    <t>连州市</t>
  </si>
  <si>
    <t>佛冈县</t>
  </si>
  <si>
    <t>连山壮族瑶族自治县</t>
  </si>
  <si>
    <t>连南瑶族自治县</t>
  </si>
  <si>
    <t>阳山县</t>
  </si>
  <si>
    <t>潮州市</t>
  </si>
  <si>
    <t>潮州市本级</t>
  </si>
  <si>
    <t>湘桥区</t>
  </si>
  <si>
    <t>饶平县</t>
  </si>
  <si>
    <t>潮安区（含枫溪区）</t>
  </si>
  <si>
    <t>揭阳市</t>
  </si>
  <si>
    <t>揭阳市本级</t>
  </si>
  <si>
    <t>榕城区</t>
  </si>
  <si>
    <t>揭东区</t>
  </si>
  <si>
    <t>普宁市</t>
  </si>
  <si>
    <t>揭西县</t>
  </si>
  <si>
    <t>惠来县</t>
  </si>
  <si>
    <t>云浮市</t>
  </si>
  <si>
    <t>云浮市本级</t>
  </si>
  <si>
    <t>云城区</t>
  </si>
  <si>
    <t>罗定市</t>
  </si>
  <si>
    <t>新兴县</t>
  </si>
  <si>
    <t>郁南县</t>
  </si>
  <si>
    <t>云安区</t>
  </si>
  <si>
    <t>说明：1、列[6]、[7]源于《关于安排2019年省级医疗卫生健康事业发展专项资金（第一批）的通知》（粤财社[2019]42号）附件10。2、列[8]、[9]源于省妇幼信息平台中补助登记汇总数据（按经费管理机构、补助登记时间为2019年1月1日—12月31日）。3、各市非建制区、市保健院的相关数据列入市本级统计。4、此次惠州市本级资金少下达260万元，以后年度给予结算。</t>
  </si>
  <si>
    <t>3、</t>
  </si>
  <si>
    <t>附件3</t>
  </si>
  <si>
    <t>出生缺陷综合防控需方补助项目及标准</t>
  </si>
  <si>
    <t>目标疾病</t>
  </si>
  <si>
    <t>检查项目</t>
  </si>
  <si>
    <t>补助对象</t>
  </si>
  <si>
    <t>服务机构</t>
  </si>
  <si>
    <t>医疗机构收费标准（元/例）</t>
  </si>
  <si>
    <t>财政结算标准（元/例）</t>
  </si>
  <si>
    <t>需要筛查人数比例</t>
  </si>
  <si>
    <t>省财政预拨和结算比例</t>
  </si>
  <si>
    <t>财政预拨标准（元/人）</t>
  </si>
  <si>
    <t>小计</t>
  </si>
  <si>
    <t>省财政预拨标准（元/人）</t>
  </si>
  <si>
    <t>市县财政预拨标准（元/人）</t>
  </si>
  <si>
    <t>[2]=[1]*0.9</t>
  </si>
  <si>
    <t>[3]</t>
  </si>
  <si>
    <t>[5]=[6]+[7]</t>
  </si>
  <si>
    <t>[6]=[2]*[3]*[4]</t>
  </si>
  <si>
    <t>[7]=[2]*[3]*（1-[4]）</t>
  </si>
  <si>
    <t>新增产前筛查及诊断项目</t>
  </si>
  <si>
    <t>新增新生儿筛查项目</t>
  </si>
  <si>
    <t>省财政全额承担项目</t>
  </si>
  <si>
    <t>一、产前筛查及诊断</t>
  </si>
  <si>
    <t>（一）产前筛查</t>
  </si>
  <si>
    <t>1、地中海贫血</t>
  </si>
  <si>
    <t>原有</t>
  </si>
  <si>
    <t>初筛</t>
  </si>
  <si>
    <t>血常规（MCV、MCH）</t>
  </si>
  <si>
    <t>计划怀孕夫妇</t>
  </si>
  <si>
    <t>孕前优生项目</t>
  </si>
  <si>
    <t>/</t>
  </si>
  <si>
    <t>复筛</t>
  </si>
  <si>
    <t>地贫血红蛋白分析</t>
  </si>
  <si>
    <r>
      <rPr>
        <sz val="12"/>
        <rFont val="宋体"/>
        <family val="0"/>
      </rPr>
      <t>夫妇双方血常规检测至少一方为阳性（含自费病人），且双方进行血红蛋白分析检测（按初筛人群</t>
    </r>
    <r>
      <rPr>
        <sz val="12"/>
        <rFont val="Times New Roman"/>
        <family val="1"/>
      </rPr>
      <t>25%</t>
    </r>
    <r>
      <rPr>
        <sz val="12"/>
        <rFont val="宋体"/>
        <family val="0"/>
      </rPr>
      <t>计算）。</t>
    </r>
  </si>
  <si>
    <t>产前筛查机构</t>
  </si>
  <si>
    <t>地贫基因检测（致病突变缺失及罕见α、β测序）</t>
  </si>
  <si>
    <r>
      <rPr>
        <sz val="12"/>
        <rFont val="宋体"/>
        <family val="0"/>
      </rPr>
      <t>夫妇双方经血红蛋白分析为双方阳性（含自费病人），且双方进行地贫基因检测。未发现致病突变的做罕见</t>
    </r>
    <r>
      <rPr>
        <sz val="12"/>
        <rFont val="Calibri"/>
        <family val="2"/>
      </rPr>
      <t>α</t>
    </r>
    <r>
      <rPr>
        <sz val="12"/>
        <rFont val="宋体"/>
        <family val="0"/>
      </rPr>
      <t>、</t>
    </r>
    <r>
      <rPr>
        <sz val="12"/>
        <rFont val="Calibri"/>
        <family val="2"/>
      </rPr>
      <t>β</t>
    </r>
    <r>
      <rPr>
        <sz val="12"/>
        <rFont val="宋体"/>
        <family val="0"/>
      </rPr>
      <t>测序（按初筛人群6.25</t>
    </r>
    <r>
      <rPr>
        <sz val="12"/>
        <rFont val="Times New Roman"/>
        <family val="1"/>
      </rPr>
      <t>%</t>
    </r>
    <r>
      <rPr>
        <sz val="12"/>
        <rFont val="宋体"/>
        <family val="0"/>
      </rPr>
      <t>计算）</t>
    </r>
  </si>
  <si>
    <t>2、唐氏综合征及其他致死致残性染色体异常</t>
  </si>
  <si>
    <r>
      <rPr>
        <sz val="12"/>
        <rFont val="宋体"/>
        <family val="0"/>
      </rPr>
      <t>孕早期（</t>
    </r>
    <r>
      <rPr>
        <sz val="12"/>
        <rFont val="Times New Roman"/>
        <family val="1"/>
      </rPr>
      <t>11-13</t>
    </r>
    <r>
      <rPr>
        <vertAlign val="superscript"/>
        <sz val="12"/>
        <rFont val="宋体"/>
        <family val="0"/>
      </rPr>
      <t>+6</t>
    </r>
    <r>
      <rPr>
        <sz val="12"/>
        <rFont val="宋体"/>
        <family val="0"/>
      </rPr>
      <t>周）血清学（</t>
    </r>
    <r>
      <rPr>
        <sz val="12"/>
        <rFont val="Times New Roman"/>
        <family val="1"/>
      </rPr>
      <t>β-HCG+ PAPP</t>
    </r>
    <r>
      <rPr>
        <sz val="12"/>
        <rFont val="宋体"/>
        <family val="0"/>
      </rPr>
      <t>）</t>
    </r>
  </si>
  <si>
    <t>按目前筛查实际约70%选择早期唐筛。</t>
  </si>
  <si>
    <r>
      <rPr>
        <sz val="12"/>
        <rFont val="宋体"/>
        <family val="0"/>
      </rPr>
      <t>孕中期（</t>
    </r>
    <r>
      <rPr>
        <sz val="12"/>
        <rFont val="Times New Roman"/>
        <family val="1"/>
      </rPr>
      <t>15-20</t>
    </r>
    <r>
      <rPr>
        <sz val="12"/>
        <rFont val="宋体"/>
        <family val="0"/>
      </rPr>
      <t>周）血清学（</t>
    </r>
    <r>
      <rPr>
        <sz val="12"/>
        <rFont val="Times New Roman"/>
        <family val="1"/>
      </rPr>
      <t>β-HCG+AFP+uE3</t>
    </r>
    <r>
      <rPr>
        <sz val="12"/>
        <rFont val="宋体"/>
        <family val="0"/>
      </rPr>
      <t>）</t>
    </r>
  </si>
  <si>
    <t>按目前筛查实际约30%选择中期唐筛。</t>
  </si>
  <si>
    <t>新增</t>
  </si>
  <si>
    <r>
      <rPr>
        <sz val="12"/>
        <rFont val="宋体"/>
        <family val="0"/>
      </rPr>
      <t>孕妇外周血游离</t>
    </r>
    <r>
      <rPr>
        <sz val="12"/>
        <rFont val="Times New Roman"/>
        <family val="1"/>
      </rPr>
      <t>DNA</t>
    </r>
    <r>
      <rPr>
        <sz val="12"/>
        <rFont val="宋体"/>
        <family val="0"/>
      </rPr>
      <t>产前筛查（NIPT）</t>
    </r>
  </si>
  <si>
    <r>
      <t>经血清学筛查为临界风险的</t>
    </r>
    <r>
      <rPr>
        <sz val="12"/>
        <color indexed="8"/>
        <rFont val="宋体"/>
        <family val="0"/>
      </rPr>
      <t>孕妇（非整倍体风险值介于高风险切割值与1/1000的孕妇， 按初筛人群10%计算，财政定额补助600元，不足部分个人自付或医保补助）</t>
    </r>
  </si>
  <si>
    <t>全省55家经批准的产前诊断机构</t>
  </si>
  <si>
    <t>3、严重致死致残性结构畸形</t>
  </si>
  <si>
    <r>
      <rPr>
        <sz val="12"/>
        <rFont val="宋体"/>
        <family val="0"/>
      </rPr>
      <t>孕早期（</t>
    </r>
    <r>
      <rPr>
        <sz val="12"/>
        <rFont val="Times New Roman"/>
        <family val="1"/>
      </rPr>
      <t>11-13</t>
    </r>
    <r>
      <rPr>
        <sz val="12"/>
        <rFont val="宋体"/>
        <family val="0"/>
      </rPr>
      <t>+6周）超声检查（含</t>
    </r>
    <r>
      <rPr>
        <sz val="12"/>
        <rFont val="Times New Roman"/>
        <family val="1"/>
      </rPr>
      <t>NT</t>
    </r>
    <r>
      <rPr>
        <sz val="12"/>
        <rFont val="宋体"/>
        <family val="0"/>
      </rPr>
      <t>）</t>
    </r>
  </si>
  <si>
    <t>所有孕妇</t>
  </si>
  <si>
    <r>
      <rPr>
        <sz val="12"/>
        <rFont val="Times New Roman"/>
        <family val="1"/>
      </rPr>
      <t xml:space="preserve">II </t>
    </r>
    <r>
      <rPr>
        <sz val="12"/>
        <rFont val="宋体"/>
        <family val="0"/>
      </rPr>
      <t>级产前超声检查</t>
    </r>
  </si>
  <si>
    <t>（二）产前诊断（其中，基因诊断按照1850元/胎定额补助）</t>
  </si>
  <si>
    <t>基因诊断</t>
  </si>
  <si>
    <r>
      <rPr>
        <sz val="12"/>
        <rFont val="宋体"/>
        <family val="0"/>
      </rPr>
      <t>绒毛</t>
    </r>
    <r>
      <rPr>
        <sz val="12"/>
        <rFont val="Times New Roman"/>
        <family val="1"/>
      </rPr>
      <t>/</t>
    </r>
    <r>
      <rPr>
        <sz val="12"/>
        <rFont val="宋体"/>
        <family val="0"/>
      </rPr>
      <t>羊水</t>
    </r>
    <r>
      <rPr>
        <sz val="12"/>
        <rFont val="Times New Roman"/>
        <family val="1"/>
      </rPr>
      <t>/</t>
    </r>
    <r>
      <rPr>
        <sz val="12"/>
        <rFont val="宋体"/>
        <family val="0"/>
      </rPr>
      <t>脐血地贫产前诊断</t>
    </r>
  </si>
  <si>
    <r>
      <rPr>
        <sz val="12"/>
        <rFont val="宋体"/>
        <family val="0"/>
      </rPr>
      <t>夫妇双方携带同型α或β地贫基因（按初筛人群</t>
    </r>
    <r>
      <rPr>
        <sz val="12"/>
        <rFont val="Times New Roman"/>
        <family val="1"/>
      </rPr>
      <t>1%</t>
    </r>
    <r>
      <rPr>
        <sz val="12"/>
        <rFont val="宋体"/>
        <family val="0"/>
      </rPr>
      <t>计算）。</t>
    </r>
  </si>
  <si>
    <t>2、其他严重致死致残单基因疾病（新增）</t>
  </si>
  <si>
    <t>绒毛/羊水/脐血其他严重致死致残单基因疾病的基因诊断（具体方法见干预病种技术规范）</t>
  </si>
  <si>
    <t>已生育一胎严重单基因遗传病的夫妇、通过筛查发现夫妇双方携带同一种严重单基因遗传病基因（按初筛人群5‰计算）</t>
  </si>
  <si>
    <t>3、唐氏综合征及其他致死致残性染色体异常</t>
  </si>
  <si>
    <t>绒毛/羊水/脐血染色体核型分析</t>
  </si>
  <si>
    <t>高风险孕妇，三选其一（按初筛人群1.5%计算）</t>
  </si>
  <si>
    <t>绒毛/羊水/脐血染色体微阵列分析（CMA）</t>
  </si>
  <si>
    <t>绒毛/羊水/脐血基因组拷贝数变异测分析 （CNV-seq）</t>
  </si>
  <si>
    <t>4、严重致死致残性结构畸形</t>
  </si>
  <si>
    <t>筛查阳性的孕妇，三选其一。（按初筛人群1％计算）</t>
  </si>
  <si>
    <r>
      <t>绒毛/羊水/脐血基因组拷贝数变异测序（</t>
    </r>
    <r>
      <rPr>
        <sz val="12"/>
        <color indexed="8"/>
        <rFont val="Times New Roman"/>
        <family val="1"/>
      </rPr>
      <t>CNV-seq</t>
    </r>
    <r>
      <rPr>
        <sz val="12"/>
        <color indexed="8"/>
        <rFont val="宋体"/>
        <family val="0"/>
      </rPr>
      <t>）</t>
    </r>
  </si>
  <si>
    <t>超声诊断</t>
  </si>
  <si>
    <r>
      <t>III</t>
    </r>
    <r>
      <rPr>
        <sz val="12"/>
        <rFont val="宋体"/>
        <family val="0"/>
      </rPr>
      <t>级产前超声检查</t>
    </r>
  </si>
  <si>
    <r>
      <rPr>
        <sz val="12"/>
        <rFont val="宋体"/>
        <family val="0"/>
      </rPr>
      <t>筛查阳性的孕妇（按初筛人群</t>
    </r>
    <r>
      <rPr>
        <sz val="12"/>
        <rFont val="Times New Roman"/>
        <family val="1"/>
      </rPr>
      <t>1%</t>
    </r>
    <r>
      <rPr>
        <sz val="12"/>
        <rFont val="宋体"/>
        <family val="0"/>
      </rPr>
      <t>计算）</t>
    </r>
  </si>
  <si>
    <t>先天性心脏病的胎儿心脏彩超检查（胎儿超声心动图检查）</t>
  </si>
  <si>
    <t>筛查阳性的孕妇（按初筛人群2‰计算）</t>
  </si>
  <si>
    <t>二、新生儿疾病筛查</t>
  </si>
  <si>
    <t>1、新生儿先天性甲状腺功能减低症</t>
  </si>
  <si>
    <t>血清促甲状腺激素测定（化学发光法）</t>
  </si>
  <si>
    <t>初筛为所有新生儿</t>
  </si>
  <si>
    <t>市新生儿遗传代谢病筛查中心</t>
  </si>
  <si>
    <r>
      <rPr>
        <sz val="12"/>
        <rFont val="宋体"/>
        <family val="0"/>
      </rPr>
      <t>甲状腺功能三项（</t>
    </r>
    <r>
      <rPr>
        <sz val="12"/>
        <rFont val="Times New Roman"/>
        <family val="1"/>
      </rPr>
      <t>TSH,FT3,FT4,</t>
    </r>
    <r>
      <rPr>
        <sz val="12"/>
        <rFont val="宋体"/>
        <family val="0"/>
      </rPr>
      <t>）</t>
    </r>
  </si>
  <si>
    <t>筛查阳性的新生儿（按初筛人群2％计算）（甲低）</t>
  </si>
  <si>
    <r>
      <rPr>
        <sz val="12"/>
        <rFont val="宋体"/>
        <family val="0"/>
      </rPr>
      <t>2、新生儿</t>
    </r>
    <r>
      <rPr>
        <sz val="12"/>
        <rFont val="Times New Roman"/>
        <family val="1"/>
      </rPr>
      <t>G6PD</t>
    </r>
    <r>
      <rPr>
        <sz val="12"/>
        <rFont val="宋体"/>
        <family val="0"/>
      </rPr>
      <t>缺乏症</t>
    </r>
  </si>
  <si>
    <r>
      <rPr>
        <sz val="12"/>
        <rFont val="宋体"/>
        <family val="0"/>
      </rPr>
      <t>葡萄糖</t>
    </r>
    <r>
      <rPr>
        <sz val="12"/>
        <rFont val="Times New Roman"/>
        <family val="1"/>
      </rPr>
      <t>6-</t>
    </r>
    <r>
      <rPr>
        <sz val="12"/>
        <rFont val="宋体"/>
        <family val="0"/>
      </rPr>
      <t>磷酸脱氢酶荧光斑点试验</t>
    </r>
  </si>
  <si>
    <t>比值法</t>
  </si>
  <si>
    <r>
      <t>筛查阳性的新生儿（按初筛人群5％计算）（</t>
    </r>
    <r>
      <rPr>
        <sz val="12"/>
        <rFont val="Times New Roman"/>
        <family val="1"/>
      </rPr>
      <t>G6PD</t>
    </r>
    <r>
      <rPr>
        <sz val="12"/>
        <rFont val="宋体"/>
        <family val="0"/>
      </rPr>
      <t>）</t>
    </r>
  </si>
  <si>
    <t>3、新生儿苯丙酮尿症</t>
  </si>
  <si>
    <r>
      <rPr>
        <sz val="12"/>
        <rFont val="宋体"/>
        <family val="0"/>
      </rPr>
      <t>苯丙氨酸测定</t>
    </r>
    <r>
      <rPr>
        <sz val="12"/>
        <rFont val="Times New Roman"/>
        <family val="1"/>
      </rPr>
      <t>(PKU)</t>
    </r>
    <r>
      <rPr>
        <sz val="12"/>
        <rFont val="宋体"/>
        <family val="0"/>
      </rPr>
      <t>定量</t>
    </r>
  </si>
  <si>
    <t>串联质谱法</t>
  </si>
  <si>
    <t>筛查阳性的新生儿（按初筛人群0.3％计算）（苯丙酮尿症等）</t>
  </si>
  <si>
    <t>4、新生儿先天性肾上腺皮质增生症（新增）</t>
  </si>
  <si>
    <t>17α羟孕酮测定（化学发光法）</t>
  </si>
  <si>
    <t>17α羟孕酮，皮质醇，睾酮，雄烯二酮，脱氢表雄酮</t>
  </si>
  <si>
    <r>
      <rPr>
        <sz val="12"/>
        <rFont val="宋体"/>
        <family val="0"/>
      </rPr>
      <t>筛查阳性的新生儿（按初筛人群2％计算）（甲低）（</t>
    </r>
    <r>
      <rPr>
        <sz val="12"/>
        <rFont val="Times New Roman"/>
        <family val="1"/>
      </rPr>
      <t>CAH</t>
    </r>
    <r>
      <rPr>
        <sz val="12"/>
        <rFont val="宋体"/>
        <family val="0"/>
      </rPr>
      <t>）</t>
    </r>
  </si>
  <si>
    <t>5、新生儿听力筛查</t>
  </si>
  <si>
    <t>耳声发射检查</t>
  </si>
  <si>
    <t>各市新生儿听力筛查机构</t>
  </si>
  <si>
    <r>
      <rPr>
        <sz val="12"/>
        <rFont val="宋体"/>
        <family val="0"/>
      </rPr>
      <t>耳声发射检查</t>
    </r>
    <r>
      <rPr>
        <sz val="12"/>
        <rFont val="Times New Roman"/>
        <family val="1"/>
      </rPr>
      <t>OAE+</t>
    </r>
    <r>
      <rPr>
        <sz val="12"/>
        <rFont val="宋体"/>
        <family val="0"/>
      </rPr>
      <t>自动听性脑干反应</t>
    </r>
    <r>
      <rPr>
        <sz val="12"/>
        <rFont val="Times New Roman"/>
        <family val="1"/>
      </rPr>
      <t>AABR</t>
    </r>
  </si>
  <si>
    <t>筛查阳性的新生儿（按初筛人群5％计算）（听力筛查）</t>
  </si>
  <si>
    <t>6、早产儿视网膜病变（新增）</t>
  </si>
  <si>
    <t>新生儿视网膜筛查</t>
  </si>
  <si>
    <r>
      <rPr>
        <sz val="12"/>
        <rFont val="宋体"/>
        <family val="0"/>
      </rPr>
      <t>所有早产儿（按早产率</t>
    </r>
    <r>
      <rPr>
        <sz val="12"/>
        <rFont val="Times New Roman"/>
        <family val="1"/>
      </rPr>
      <t>4.85%</t>
    </r>
    <r>
      <rPr>
        <sz val="12"/>
        <rFont val="宋体"/>
        <family val="0"/>
      </rPr>
      <t>计算）</t>
    </r>
  </si>
  <si>
    <t>有条件的县级以上定点新生儿筛查机构</t>
  </si>
  <si>
    <t>视网膜病变复筛/诊断</t>
  </si>
  <si>
    <r>
      <rPr>
        <sz val="12"/>
        <rFont val="宋体"/>
        <family val="0"/>
      </rPr>
      <t>初筛阳性新生儿（按所有新生儿</t>
    </r>
    <r>
      <rPr>
        <sz val="12"/>
        <rFont val="Times New Roman"/>
        <family val="1"/>
      </rPr>
      <t>1%</t>
    </r>
    <r>
      <rPr>
        <sz val="12"/>
        <rFont val="宋体"/>
        <family val="0"/>
      </rPr>
      <t>计算）</t>
    </r>
  </si>
  <si>
    <t>备注：一、产前诊断定额补助1850元/胎参考广东省卫生计生委广东省财政厅关于印发广东省地中海贫血预防控制项目实施方案的通知（粤卫函[2017]698号）确定的标准。二、NIPT为新增项目，财政定额补助600元/例，不足部分个人自付或医保补助。三、III级产前超声检查财政定额补助390元/例、先天性心脏病的胎儿心脏彩超检查财政定额补助360元/例。四、其他筛查项目按照广州地区二级医疗机构或者三级医疗机构承担的收费标准的90%确定结算标准。五、检查内容为参考项目，各地可以有调整，省财政按照【检查项目】*【财政人均结算标准】*【省财政结算比例】进行结算。</t>
  </si>
  <si>
    <t>附件1-2</t>
  </si>
  <si>
    <t>2021-2023年广东省出生缺陷综合防控项目目标人群测算表</t>
  </si>
  <si>
    <t>广东省户籍围产儿数</t>
  </si>
  <si>
    <t>2017-2019年年均增长率</t>
  </si>
  <si>
    <t>2019年产前筛查及诊断项目补助人数（以结构畸形筛查人数为基数）</t>
  </si>
  <si>
    <t>2019年项目筛查覆盖率</t>
  </si>
  <si>
    <t>2017年</t>
  </si>
  <si>
    <t>2018年</t>
  </si>
  <si>
    <t>2019年</t>
  </si>
  <si>
    <t>2021年</t>
  </si>
  <si>
    <t>2022年</t>
  </si>
  <si>
    <t>2023年</t>
  </si>
  <si>
    <t>[5]</t>
  </si>
  <si>
    <t>[7]=[3]*[4]</t>
  </si>
  <si>
    <t>[8]=[7]*[4]</t>
  </si>
  <si>
    <t>[9]=[8]*[4]</t>
  </si>
  <si>
    <t>[10]=[7]*[6]</t>
  </si>
  <si>
    <t>[11]=[8]*[6]</t>
  </si>
  <si>
    <r>
      <t>[1</t>
    </r>
    <r>
      <rPr>
        <sz val="9"/>
        <rFont val="宋体"/>
        <family val="0"/>
      </rPr>
      <t>2</t>
    </r>
    <r>
      <rPr>
        <sz val="9"/>
        <rFont val="宋体"/>
        <family val="0"/>
      </rPr>
      <t>]=[</t>
    </r>
    <r>
      <rPr>
        <sz val="9"/>
        <rFont val="宋体"/>
        <family val="0"/>
      </rPr>
      <t>9</t>
    </r>
    <r>
      <rPr>
        <sz val="9"/>
        <rFont val="宋体"/>
        <family val="0"/>
      </rPr>
      <t>]*[6]</t>
    </r>
  </si>
  <si>
    <t>全省合计</t>
  </si>
  <si>
    <t>省本级</t>
  </si>
  <si>
    <t>珠三角地市小计</t>
  </si>
  <si>
    <t>广州市</t>
  </si>
  <si>
    <t>深圳市</t>
  </si>
  <si>
    <t>珠海市</t>
  </si>
  <si>
    <t>佛山市</t>
  </si>
  <si>
    <t>东莞市</t>
  </si>
  <si>
    <t>中山市</t>
  </si>
  <si>
    <t>江门市（台开恩以外其他县区）</t>
  </si>
  <si>
    <t>省财政补助项目地市小计</t>
  </si>
  <si>
    <t>江门市（台开恩）</t>
  </si>
  <si>
    <t>乳源县</t>
  </si>
  <si>
    <t>连山县</t>
  </si>
  <si>
    <t>连南县</t>
  </si>
  <si>
    <t>附件1-3</t>
  </si>
  <si>
    <t>2021-2023年广东省出生缺陷综合防控项目经费测算表</t>
  </si>
  <si>
    <t>金额单位：万元</t>
  </si>
  <si>
    <t>新生儿筛查财政预拨标准</t>
  </si>
  <si>
    <t>产前筛查及诊断财政预拨标准</t>
  </si>
  <si>
    <t>供方补助县数量</t>
  </si>
  <si>
    <t>2021年省财政补助</t>
  </si>
  <si>
    <t>2022年省财政补助</t>
  </si>
  <si>
    <t>2023年省财政补助</t>
  </si>
  <si>
    <t>2021-2023年省财政补助</t>
  </si>
  <si>
    <t>2021-2023项目需方经费</t>
  </si>
  <si>
    <t>取消群众20%</t>
  </si>
  <si>
    <t>新增项目</t>
  </si>
  <si>
    <t>省财政预拨标准</t>
  </si>
  <si>
    <t>市县财政预拨标准</t>
  </si>
  <si>
    <t>供方经费</t>
  </si>
  <si>
    <t>需方经费</t>
  </si>
  <si>
    <t>省财政</t>
  </si>
  <si>
    <t>市县财政</t>
  </si>
  <si>
    <t>原由群众负担20%</t>
  </si>
  <si>
    <t>省财政负担</t>
  </si>
  <si>
    <t>新生儿筛查</t>
  </si>
  <si>
    <t>产前筛查及诊断</t>
  </si>
  <si>
    <t>[7]=[8]+[9]</t>
  </si>
  <si>
    <t>[10]=[11]+[12]</t>
  </si>
  <si>
    <t>[12]</t>
  </si>
  <si>
    <t>[13]=[14]+[15]</t>
  </si>
  <si>
    <t>[14]</t>
  </si>
  <si>
    <t>[15]</t>
  </si>
  <si>
    <t>[16]=[17]+[18]</t>
  </si>
  <si>
    <t>[17]</t>
  </si>
  <si>
    <t>[18]</t>
  </si>
  <si>
    <t>[19]=[20]+[21]</t>
  </si>
  <si>
    <t>[20]</t>
  </si>
  <si>
    <t>[21]</t>
  </si>
  <si>
    <t>[22]=[23]+[24]</t>
  </si>
  <si>
    <t>[23]=[14]+[17]+[20]</t>
  </si>
  <si>
    <t>[24]=[15]+[18]+[21]</t>
  </si>
  <si>
    <t>珠三角七市</t>
  </si>
  <si>
    <t>省财政补助地市小计</t>
  </si>
  <si>
    <t xml:space="preserve">备注：1.需方补助经费财政预拨标准为孕妇620元/胎、新生儿214元/例，省市县按照6：2：2比例承担。 2.省财政按省级510万元/年，市级12万/年、县级9万/年安排出生缺陷防控中心工作经费，用于出生缺陷防控项目人员培训、督导检查、健康宣教、信息系统建设维护、质量控制等；3、对需要在市级以上医疗机构完成的产前诊断和新生儿遗传代谢病筛查项目，各项目地市可将该项目需方经费直接下达到相应机构并按照财政结算标准全额结算。 </t>
  </si>
  <si>
    <t>附件1-4</t>
  </si>
  <si>
    <t>广东省出生缺陷综合防控项目需方补助情况</t>
  </si>
  <si>
    <t>统计时间：2019年1月1日——2019年12月31日</t>
  </si>
  <si>
    <t>导出口径：经费管理机构、补助登记时间</t>
  </si>
  <si>
    <t>补助情况</t>
  </si>
  <si>
    <t>地中海贫血</t>
  </si>
  <si>
    <t>染色体异常</t>
  </si>
  <si>
    <t>明显结构畸形</t>
  </si>
  <si>
    <t>新筛</t>
  </si>
  <si>
    <t>（万元）</t>
  </si>
  <si>
    <t>补助合计</t>
  </si>
  <si>
    <t>血红蛋白电泳分析</t>
  </si>
  <si>
    <t>金额（50元例）</t>
  </si>
  <si>
    <t>基因检测</t>
  </si>
  <si>
    <t>金额（500元例）</t>
  </si>
  <si>
    <t>产前诊断</t>
  </si>
  <si>
    <t>金额（1850元例）</t>
  </si>
  <si>
    <t>终止妊娠</t>
  </si>
  <si>
    <t>金额（1200元例）</t>
  </si>
  <si>
    <t>筛查</t>
  </si>
  <si>
    <t>金额（126元例）</t>
  </si>
  <si>
    <t>诊断</t>
  </si>
  <si>
    <t>金额（799元例）</t>
  </si>
  <si>
    <t>金额（788元例）</t>
  </si>
  <si>
    <t>金额（88元例）</t>
  </si>
  <si>
    <t>金额（194元例）</t>
  </si>
  <si>
    <t>遗传代谢病筛查</t>
  </si>
  <si>
    <t>金额（36元例）</t>
  </si>
  <si>
    <t>听力障碍筛查</t>
  </si>
  <si>
    <t>金额（43元例）</t>
  </si>
  <si>
    <t>人数</t>
  </si>
  <si>
    <t>元</t>
  </si>
  <si>
    <t>广东省妇幼保健院</t>
  </si>
  <si>
    <t>附件1-5</t>
  </si>
  <si>
    <t>2019年省出防项目需方经费结算表</t>
  </si>
  <si>
    <t>2019年预算情况</t>
  </si>
  <si>
    <t>2019年实际支出情况</t>
  </si>
  <si>
    <t>结算2019年需方补助结余资金</t>
  </si>
  <si>
    <t>往年度待结算(粤财社[2019]276号附件8)</t>
  </si>
  <si>
    <t>总结余资金</t>
  </si>
  <si>
    <t>两项合计</t>
  </si>
  <si>
    <t>（元）</t>
  </si>
  <si>
    <t>[7]=[1]-[4]</t>
  </si>
  <si>
    <t>[8]=[2]-[5]</t>
  </si>
  <si>
    <t>[9]=[3]-[6]</t>
  </si>
  <si>
    <t>[10]</t>
  </si>
  <si>
    <t>[11]=[10]-[9]</t>
  </si>
  <si>
    <t>其中：汕头市妇幼保健院</t>
  </si>
  <si>
    <t>其中：韶关市妇幼保健院</t>
  </si>
  <si>
    <t>其中：河源市妇幼保健院</t>
  </si>
  <si>
    <t>江东新区</t>
  </si>
  <si>
    <t>其中：梅州市妇幼保健院</t>
  </si>
  <si>
    <t>其中：惠州市妇幼保健院</t>
  </si>
  <si>
    <t>大亚湾经济技术开发区</t>
  </si>
  <si>
    <t>恺高新技术产业开发区</t>
  </si>
  <si>
    <t>其中：汕尾市妇幼保健院</t>
  </si>
  <si>
    <t>红海湾开发区</t>
  </si>
  <si>
    <t>华侨管理区</t>
  </si>
  <si>
    <t>其中：江门市妇幼保健院</t>
  </si>
  <si>
    <t>其中：阳江市妇幼保健院</t>
  </si>
  <si>
    <t>海陵岛经济开发试验区</t>
  </si>
  <si>
    <t>市高新技术产业开发区</t>
  </si>
  <si>
    <t>其中：湛江市妇幼保健院</t>
  </si>
  <si>
    <t>湛江市经济技术开发区</t>
  </si>
  <si>
    <t>南三岛滨海旅游示范区</t>
  </si>
  <si>
    <t>奋勇高新技术开发区</t>
  </si>
  <si>
    <t>其中：茂名市妇幼保健院</t>
  </si>
  <si>
    <t>其中：肇庆市妇幼保健院</t>
  </si>
  <si>
    <t>肇庆市高新区</t>
  </si>
  <si>
    <t>其中：清远市妇幼保健院</t>
  </si>
  <si>
    <t>其中：潮州市妇幼保健院</t>
  </si>
  <si>
    <t>枫溪区</t>
  </si>
  <si>
    <t>其中：揭阳市妇幼保健院</t>
  </si>
  <si>
    <t>产业园</t>
  </si>
  <si>
    <t>空港经济区</t>
  </si>
  <si>
    <t>普宁华侨管理区</t>
  </si>
  <si>
    <t>大南山华侨管理区</t>
  </si>
  <si>
    <t>大南海石化工业区</t>
  </si>
  <si>
    <t>其中：云浮市妇幼保健院</t>
  </si>
  <si>
    <t>说明：</t>
  </si>
  <si>
    <t>1、列1-3、10源于《关于安排2019年省级医疗卫生健康事业发展专项资金（第一批）的通知》（粤财社[2019]42号）附件10.</t>
  </si>
  <si>
    <t>4、列4、5：“需方经费”源于省妇幼信息平台中补助登记汇总数据（按经费管理机构、补助登记时间）。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</si>
</sst>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_ * #,##0_ ;_ * \-#,##0_ ;_ * &quot;-&quot;??_ ;_ @_ "/>
    <numFmt numFmtId="179" formatCode="###0"/>
    <numFmt numFmtId="180" formatCode="0.0_);[Red]\(0.0\)"/>
    <numFmt numFmtId="181" formatCode="0.0_ "/>
    <numFmt numFmtId="182" formatCode="0.0%"/>
  </numFmts>
  <fonts count="45">
    <font>
      <sz val="12"/>
      <name val="宋体"/>
      <family val="0"/>
    </font>
    <font>
      <sz val="11"/>
      <name val="宋体"/>
      <family val="0"/>
    </font>
    <font>
      <b/>
      <sz val="10"/>
      <color indexed="8"/>
      <name val="宋体"/>
      <family val="0"/>
    </font>
    <font>
      <sz val="10"/>
      <color indexed="8"/>
      <name val="宋体"/>
      <family val="0"/>
    </font>
    <font>
      <sz val="11"/>
      <color indexed="8"/>
      <name val="宋体"/>
      <family val="0"/>
    </font>
    <font>
      <b/>
      <sz val="14"/>
      <color indexed="8"/>
      <name val="宋体"/>
      <family val="0"/>
    </font>
    <font>
      <sz val="10"/>
      <name val="宋体"/>
      <family val="0"/>
    </font>
    <font>
      <b/>
      <sz val="11"/>
      <color indexed="8"/>
      <name val="宋体"/>
      <family val="0"/>
    </font>
    <font>
      <b/>
      <sz val="16"/>
      <color indexed="8"/>
      <name val="宋体"/>
      <family val="0"/>
    </font>
    <font>
      <sz val="9"/>
      <name val="宋体"/>
      <family val="0"/>
    </font>
    <font>
      <b/>
      <sz val="9"/>
      <name val="宋体"/>
      <family val="0"/>
    </font>
    <font>
      <b/>
      <sz val="12"/>
      <name val="宋体"/>
      <family val="0"/>
    </font>
    <font>
      <sz val="12"/>
      <name val="黑体"/>
      <family val="3"/>
    </font>
    <font>
      <b/>
      <sz val="18"/>
      <name val="宋体"/>
      <family val="0"/>
    </font>
    <font>
      <b/>
      <sz val="10"/>
      <name val="宋体"/>
      <family val="0"/>
    </font>
    <font>
      <sz val="12"/>
      <color indexed="8"/>
      <name val="宋体"/>
      <family val="0"/>
    </font>
    <font>
      <b/>
      <sz val="20"/>
      <name val="宋体"/>
      <family val="0"/>
    </font>
    <font>
      <sz val="20"/>
      <name val="宋体"/>
      <family val="0"/>
    </font>
    <font>
      <sz val="12"/>
      <name val="Times New Roman"/>
      <family val="1"/>
    </font>
    <font>
      <sz val="20"/>
      <color indexed="8"/>
      <name val="宋体"/>
      <family val="0"/>
    </font>
    <font>
      <sz val="12"/>
      <color indexed="8"/>
      <name val="黑体"/>
      <family val="3"/>
    </font>
    <font>
      <b/>
      <sz val="24"/>
      <color indexed="8"/>
      <name val="宋体"/>
      <family val="0"/>
    </font>
    <font>
      <b/>
      <sz val="11"/>
      <name val="宋体"/>
      <family val="0"/>
    </font>
    <font>
      <b/>
      <sz val="12"/>
      <color indexed="8"/>
      <name val="宋体"/>
      <family val="0"/>
    </font>
    <font>
      <sz val="11"/>
      <color indexed="9"/>
      <name val="等线"/>
      <family val="0"/>
    </font>
    <font>
      <b/>
      <sz val="11"/>
      <color indexed="63"/>
      <name val="等线"/>
      <family val="0"/>
    </font>
    <font>
      <sz val="11"/>
      <color indexed="10"/>
      <name val="等线"/>
      <family val="0"/>
    </font>
    <font>
      <sz val="11"/>
      <color indexed="8"/>
      <name val="等线"/>
      <family val="0"/>
    </font>
    <font>
      <b/>
      <sz val="11"/>
      <color indexed="62"/>
      <name val="等线"/>
      <family val="0"/>
    </font>
    <font>
      <u val="single"/>
      <sz val="11"/>
      <color indexed="20"/>
      <name val="等线"/>
      <family val="0"/>
    </font>
    <font>
      <sz val="11"/>
      <color indexed="60"/>
      <name val="等线"/>
      <family val="0"/>
    </font>
    <font>
      <b/>
      <sz val="11"/>
      <color indexed="9"/>
      <name val="等线"/>
      <family val="0"/>
    </font>
    <font>
      <i/>
      <sz val="11"/>
      <color indexed="23"/>
      <name val="等线"/>
      <family val="0"/>
    </font>
    <font>
      <sz val="11"/>
      <color indexed="52"/>
      <name val="等线"/>
      <family val="0"/>
    </font>
    <font>
      <b/>
      <sz val="15"/>
      <color indexed="62"/>
      <name val="等线"/>
      <family val="0"/>
    </font>
    <font>
      <b/>
      <sz val="11"/>
      <color indexed="52"/>
      <name val="等线"/>
      <family val="0"/>
    </font>
    <font>
      <b/>
      <sz val="18"/>
      <color indexed="62"/>
      <name val="等线"/>
      <family val="0"/>
    </font>
    <font>
      <sz val="11"/>
      <color indexed="62"/>
      <name val="等线"/>
      <family val="0"/>
    </font>
    <font>
      <b/>
      <sz val="11"/>
      <color indexed="8"/>
      <name val="等线"/>
      <family val="0"/>
    </font>
    <font>
      <b/>
      <sz val="13"/>
      <color indexed="62"/>
      <name val="等线"/>
      <family val="0"/>
    </font>
    <font>
      <sz val="11"/>
      <color indexed="17"/>
      <name val="等线"/>
      <family val="0"/>
    </font>
    <font>
      <u val="single"/>
      <sz val="11"/>
      <color indexed="12"/>
      <name val="等线"/>
      <family val="0"/>
    </font>
    <font>
      <sz val="12"/>
      <name val="Calibri"/>
      <family val="2"/>
    </font>
    <font>
      <vertAlign val="superscript"/>
      <sz val="12"/>
      <name val="宋体"/>
      <family val="0"/>
    </font>
    <font>
      <sz val="12"/>
      <color indexed="8"/>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1"/>
        <bgColor indexed="64"/>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top style="thin"/>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27" fillId="2" borderId="0" applyProtection="0">
      <alignment vertical="center"/>
    </xf>
    <xf numFmtId="0" fontId="37" fillId="3" borderId="1" applyProtection="0">
      <alignment vertical="center"/>
    </xf>
    <xf numFmtId="44" fontId="0" fillId="0" borderId="0" applyProtection="0">
      <alignment vertical="center"/>
    </xf>
    <xf numFmtId="41" fontId="0" fillId="0" borderId="0" applyProtection="0">
      <alignment vertical="center"/>
    </xf>
    <xf numFmtId="0" fontId="27" fillId="4" borderId="0" applyProtection="0">
      <alignment vertical="center"/>
    </xf>
    <xf numFmtId="0" fontId="30" fillId="5" borderId="0" applyProtection="0">
      <alignment vertical="center"/>
    </xf>
    <xf numFmtId="43" fontId="0" fillId="0" borderId="0" applyProtection="0">
      <alignment vertical="center"/>
    </xf>
    <xf numFmtId="0" fontId="24" fillId="4" borderId="0" applyProtection="0">
      <alignment vertical="center"/>
    </xf>
    <xf numFmtId="0" fontId="41" fillId="0" borderId="0" applyProtection="0">
      <alignment vertical="center"/>
    </xf>
    <xf numFmtId="9" fontId="0" fillId="0" borderId="0" applyProtection="0">
      <alignment vertical="center"/>
    </xf>
    <xf numFmtId="0" fontId="29" fillId="0" borderId="0" applyProtection="0">
      <alignment vertical="center"/>
    </xf>
    <xf numFmtId="9" fontId="0" fillId="0" borderId="0" applyProtection="0">
      <alignment vertical="center"/>
    </xf>
    <xf numFmtId="0" fontId="0" fillId="6" borderId="2" applyProtection="0">
      <alignment vertical="center"/>
    </xf>
    <xf numFmtId="0" fontId="24" fillId="5" borderId="0" applyProtection="0">
      <alignment vertical="center"/>
    </xf>
    <xf numFmtId="0" fontId="28" fillId="0" borderId="0" applyProtection="0">
      <alignment vertical="center"/>
    </xf>
    <xf numFmtId="0" fontId="26" fillId="0" borderId="0" applyProtection="0">
      <alignment vertical="center"/>
    </xf>
    <xf numFmtId="0" fontId="36" fillId="0" borderId="0" applyProtection="0">
      <alignment vertical="center"/>
    </xf>
    <xf numFmtId="0" fontId="32" fillId="0" borderId="0" applyProtection="0">
      <alignment vertical="center"/>
    </xf>
    <xf numFmtId="0" fontId="34" fillId="0" borderId="3" applyProtection="0">
      <alignment vertical="center"/>
    </xf>
    <xf numFmtId="0" fontId="39" fillId="0" borderId="3" applyProtection="0">
      <alignment vertical="center"/>
    </xf>
    <xf numFmtId="0" fontId="24" fillId="7" borderId="0" applyProtection="0">
      <alignment vertical="center"/>
    </xf>
    <xf numFmtId="0" fontId="28" fillId="0" borderId="4" applyProtection="0">
      <alignment vertical="center"/>
    </xf>
    <xf numFmtId="0" fontId="24" fillId="3" borderId="0" applyProtection="0">
      <alignment vertical="center"/>
    </xf>
    <xf numFmtId="0" fontId="25" fillId="2" borderId="5" applyProtection="0">
      <alignment vertical="center"/>
    </xf>
    <xf numFmtId="0" fontId="35" fillId="2" borderId="1" applyProtection="0">
      <alignment vertical="center"/>
    </xf>
    <xf numFmtId="0" fontId="31" fillId="8" borderId="6" applyProtection="0">
      <alignment vertical="center"/>
    </xf>
    <xf numFmtId="0" fontId="27" fillId="9" borderId="0" applyProtection="0">
      <alignment vertical="center"/>
    </xf>
    <xf numFmtId="0" fontId="24" fillId="10" borderId="0" applyProtection="0">
      <alignment vertical="center"/>
    </xf>
    <xf numFmtId="0" fontId="33" fillId="0" borderId="7" applyProtection="0">
      <alignment vertical="center"/>
    </xf>
    <xf numFmtId="0" fontId="38" fillId="0" borderId="8" applyProtection="0">
      <alignment vertical="center"/>
    </xf>
    <xf numFmtId="0" fontId="40" fillId="9" borderId="0" applyProtection="0">
      <alignment vertical="center"/>
    </xf>
    <xf numFmtId="0" fontId="30" fillId="11" borderId="0" applyProtection="0">
      <alignment vertical="center"/>
    </xf>
    <xf numFmtId="0" fontId="27" fillId="12" borderId="0" applyProtection="0">
      <alignment vertical="center"/>
    </xf>
    <xf numFmtId="0" fontId="24" fillId="13" borderId="0" applyProtection="0">
      <alignment vertical="center"/>
    </xf>
    <xf numFmtId="0" fontId="27" fillId="14" borderId="0" applyProtection="0">
      <alignment vertical="center"/>
    </xf>
    <xf numFmtId="0" fontId="27" fillId="7" borderId="0" applyProtection="0">
      <alignment vertical="center"/>
    </xf>
    <xf numFmtId="0" fontId="27" fillId="3" borderId="0" applyProtection="0">
      <alignment vertical="center"/>
    </xf>
    <xf numFmtId="0" fontId="27" fillId="3" borderId="0" applyProtection="0">
      <alignment vertical="center"/>
    </xf>
    <xf numFmtId="0" fontId="24" fillId="8" borderId="0" applyProtection="0">
      <alignment vertical="center"/>
    </xf>
    <xf numFmtId="0" fontId="24" fillId="15" borderId="0" applyProtection="0">
      <alignment vertical="center"/>
    </xf>
    <xf numFmtId="0" fontId="27" fillId="6" borderId="0" applyProtection="0">
      <alignment vertical="center"/>
    </xf>
    <xf numFmtId="0" fontId="27" fillId="3" borderId="0" applyProtection="0">
      <alignment vertical="center"/>
    </xf>
    <xf numFmtId="0" fontId="24" fillId="13" borderId="0" applyProtection="0">
      <alignment vertical="center"/>
    </xf>
    <xf numFmtId="0" fontId="0" fillId="0" borderId="0">
      <alignment/>
      <protection/>
    </xf>
    <xf numFmtId="0" fontId="27" fillId="7" borderId="0" applyProtection="0">
      <alignment vertical="center"/>
    </xf>
    <xf numFmtId="0" fontId="24" fillId="7" borderId="0" applyProtection="0">
      <alignment vertical="center"/>
    </xf>
    <xf numFmtId="0" fontId="24" fillId="16" borderId="0" applyProtection="0">
      <alignment vertical="center"/>
    </xf>
    <xf numFmtId="0" fontId="27" fillId="9" borderId="0" applyProtection="0">
      <alignment vertical="center"/>
    </xf>
    <xf numFmtId="0" fontId="24" fillId="16" borderId="0" applyProtection="0">
      <alignment vertical="center"/>
    </xf>
    <xf numFmtId="0" fontId="0" fillId="0" borderId="0">
      <alignment/>
      <protection/>
    </xf>
    <xf numFmtId="0" fontId="4" fillId="0" borderId="0" applyProtection="0">
      <alignment/>
    </xf>
    <xf numFmtId="43" fontId="0" fillId="0" borderId="0" applyProtection="0">
      <alignment vertical="center"/>
    </xf>
    <xf numFmtId="0" fontId="0" fillId="0" borderId="0">
      <alignment vertical="center"/>
      <protection/>
    </xf>
    <xf numFmtId="0" fontId="0" fillId="0" borderId="0">
      <alignment vertical="center"/>
      <protection/>
    </xf>
    <xf numFmtId="43" fontId="0" fillId="0" borderId="0" applyProtection="0">
      <alignment vertical="center"/>
    </xf>
  </cellStyleXfs>
  <cellXfs count="301">
    <xf numFmtId="0" fontId="0" fillId="0" borderId="0" xfId="0" applyAlignment="1">
      <alignment vertical="center"/>
    </xf>
    <xf numFmtId="0" fontId="2" fillId="0" borderId="0" xfId="0" applyNumberFormat="1" applyFont="1" applyFill="1" applyBorder="1" applyAlignment="1">
      <alignment/>
    </xf>
    <xf numFmtId="0" fontId="3" fillId="0" borderId="0" xfId="0" applyNumberFormat="1" applyFont="1" applyFill="1" applyBorder="1" applyAlignment="1">
      <alignment/>
    </xf>
    <xf numFmtId="0" fontId="4" fillId="0" borderId="0" xfId="0" applyNumberFormat="1" applyFont="1" applyFill="1" applyBorder="1" applyAlignment="1">
      <alignment/>
    </xf>
    <xf numFmtId="0" fontId="3" fillId="0" borderId="0" xfId="0" applyNumberFormat="1" applyFont="1" applyFill="1" applyBorder="1" applyAlignment="1">
      <alignment horizontal="right"/>
    </xf>
    <xf numFmtId="0" fontId="4" fillId="0" borderId="0" xfId="0" applyFont="1" applyFill="1" applyAlignment="1">
      <alignment/>
    </xf>
    <xf numFmtId="0" fontId="5" fillId="0" borderId="9" xfId="0" applyNumberFormat="1" applyFont="1" applyFill="1" applyBorder="1" applyAlignment="1">
      <alignment horizontal="center" vertical="center"/>
    </xf>
    <xf numFmtId="0" fontId="2" fillId="0" borderId="10" xfId="0" applyNumberFormat="1" applyFont="1" applyFill="1" applyBorder="1" applyAlignment="1">
      <alignment horizontal="center"/>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right" vertical="center" wrapText="1"/>
    </xf>
    <xf numFmtId="0" fontId="2" fillId="0" borderId="10" xfId="0" applyNumberFormat="1" applyFont="1" applyFill="1" applyBorder="1" applyAlignment="1">
      <alignment vertical="center" wrapText="1"/>
    </xf>
    <xf numFmtId="0" fontId="3" fillId="0" borderId="10" xfId="0" applyNumberFormat="1" applyFont="1" applyFill="1" applyBorder="1" applyAlignment="1">
      <alignment vertical="center" wrapText="1"/>
    </xf>
    <xf numFmtId="0" fontId="3" fillId="0" borderId="10" xfId="0" applyNumberFormat="1" applyFont="1" applyFill="1" applyBorder="1" applyAlignment="1">
      <alignment horizontal="right" vertical="center" wrapText="1"/>
    </xf>
    <xf numFmtId="0" fontId="3" fillId="0" borderId="10" xfId="0" applyNumberFormat="1" applyFont="1" applyFill="1" applyBorder="1" applyAlignment="1">
      <alignment/>
    </xf>
    <xf numFmtId="0" fontId="3" fillId="17" borderId="10" xfId="0" applyNumberFormat="1" applyFont="1" applyFill="1" applyBorder="1" applyAlignment="1">
      <alignment/>
    </xf>
    <xf numFmtId="0" fontId="3" fillId="17" borderId="10" xfId="0" applyNumberFormat="1" applyFont="1" applyFill="1" applyBorder="1" applyAlignment="1">
      <alignment horizontal="right" vertical="center" wrapText="1"/>
    </xf>
    <xf numFmtId="0" fontId="2" fillId="0" borderId="10" xfId="0" applyNumberFormat="1" applyFont="1" applyFill="1" applyBorder="1" applyAlignment="1">
      <alignment/>
    </xf>
    <xf numFmtId="0" fontId="2" fillId="0" borderId="12" xfId="0" applyNumberFormat="1" applyFont="1" applyFill="1" applyBorder="1" applyAlignment="1">
      <alignment/>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right" vertical="center" wrapText="1"/>
    </xf>
    <xf numFmtId="0" fontId="2" fillId="0" borderId="10" xfId="0" applyNumberFormat="1" applyFont="1" applyFill="1" applyBorder="1" applyAlignment="1">
      <alignment horizontal="right" vertical="center"/>
    </xf>
    <xf numFmtId="43" fontId="6" fillId="0" borderId="14" xfId="22" applyFont="1" applyFill="1" applyBorder="1" applyAlignment="1">
      <alignment horizontal="right" vertical="center"/>
    </xf>
    <xf numFmtId="0" fontId="3" fillId="0" borderId="10" xfId="0" applyNumberFormat="1" applyFont="1" applyFill="1" applyBorder="1" applyAlignment="1">
      <alignment horizontal="right" vertical="center"/>
    </xf>
    <xf numFmtId="43" fontId="6" fillId="0" borderId="10" xfId="22" applyFont="1" applyFill="1" applyBorder="1" applyAlignment="1">
      <alignment horizontal="right" vertical="center"/>
    </xf>
    <xf numFmtId="0" fontId="3" fillId="0" borderId="14" xfId="0" applyNumberFormat="1" applyFont="1" applyFill="1" applyBorder="1" applyAlignment="1">
      <alignment horizontal="right" vertical="center"/>
    </xf>
    <xf numFmtId="0" fontId="3" fillId="0" borderId="10" xfId="0" applyNumberFormat="1" applyFont="1" applyFill="1" applyBorder="1" applyAlignment="1">
      <alignment horizontal="left" vertical="center" wrapText="1" indent="1"/>
    </xf>
    <xf numFmtId="0" fontId="3" fillId="18" borderId="14" xfId="0" applyNumberFormat="1" applyFont="1" applyFill="1" applyBorder="1" applyAlignment="1">
      <alignment horizontal="right" vertical="center"/>
    </xf>
    <xf numFmtId="0" fontId="3" fillId="0" borderId="1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7" fillId="0" borderId="0" xfId="0" applyNumberFormat="1" applyFont="1" applyFill="1" applyBorder="1" applyAlignment="1">
      <alignment/>
    </xf>
    <xf numFmtId="0" fontId="4" fillId="0" borderId="0" xfId="0" applyFont="1" applyFill="1" applyAlignment="1">
      <alignment/>
    </xf>
    <xf numFmtId="0" fontId="4" fillId="0" borderId="0" xfId="0" applyNumberFormat="1" applyFont="1" applyFill="1" applyAlignment="1">
      <alignment/>
    </xf>
    <xf numFmtId="0" fontId="8"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vertical="center" wrapText="1"/>
    </xf>
    <xf numFmtId="0" fontId="7" fillId="0" borderId="10" xfId="0" applyNumberFormat="1" applyFont="1" applyFill="1" applyBorder="1" applyAlignment="1">
      <alignment horizontal="center" vertical="center"/>
    </xf>
    <xf numFmtId="0" fontId="4" fillId="0" borderId="10" xfId="0" applyNumberFormat="1" applyFont="1" applyFill="1" applyBorder="1" applyAlignment="1">
      <alignment/>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xf>
    <xf numFmtId="0" fontId="7" fillId="0" borderId="10" xfId="0" applyNumberFormat="1" applyFont="1" applyFill="1" applyBorder="1" applyAlignment="1">
      <alignment/>
    </xf>
    <xf numFmtId="176" fontId="7"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9" fillId="0" borderId="0" xfId="0" applyFont="1" applyFill="1" applyAlignment="1">
      <alignment horizontal="center" vertical="center"/>
    </xf>
    <xf numFmtId="0" fontId="10" fillId="0" borderId="0" xfId="0" applyNumberFormat="1" applyFont="1" applyFill="1" applyAlignment="1">
      <alignment horizontal="center" vertical="center"/>
    </xf>
    <xf numFmtId="0" fontId="9" fillId="0" borderId="0" xfId="0" applyNumberFormat="1" applyFont="1" applyFill="1" applyAlignment="1">
      <alignment horizontal="center" vertical="center" wrapText="1"/>
    </xf>
    <xf numFmtId="0" fontId="11" fillId="0" borderId="0" xfId="0" applyFont="1" applyFill="1" applyAlignment="1">
      <alignment horizontal="center" vertical="center"/>
    </xf>
    <xf numFmtId="0" fontId="10" fillId="0" borderId="0" xfId="0" applyFont="1" applyFill="1" applyAlignment="1">
      <alignment horizontal="center" vertical="center"/>
    </xf>
    <xf numFmtId="0" fontId="9" fillId="0" borderId="0" xfId="0" applyFont="1" applyFill="1" applyBorder="1" applyAlignment="1">
      <alignment horizontal="center" vertical="center"/>
    </xf>
    <xf numFmtId="0" fontId="0" fillId="0" borderId="0" xfId="0" applyFill="1" applyAlignment="1">
      <alignment horizontal="center" vertical="center"/>
    </xf>
    <xf numFmtId="0" fontId="9" fillId="0" borderId="0" xfId="0" applyNumberFormat="1" applyFont="1" applyFill="1" applyAlignment="1">
      <alignment horizontal="center" vertical="center"/>
    </xf>
    <xf numFmtId="43" fontId="9" fillId="0" borderId="0" xfId="0" applyNumberFormat="1" applyFont="1" applyFill="1" applyAlignment="1">
      <alignment horizontal="center" vertical="center"/>
    </xf>
    <xf numFmtId="0" fontId="9"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10"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177" fontId="14" fillId="0" borderId="10" xfId="25" applyNumberFormat="1" applyFont="1" applyFill="1" applyBorder="1" applyAlignment="1">
      <alignment horizontal="center" vertical="center"/>
    </xf>
    <xf numFmtId="0" fontId="6" fillId="0" borderId="10" xfId="0" applyFont="1" applyFill="1" applyBorder="1" applyAlignment="1">
      <alignment horizontal="center" vertical="center"/>
    </xf>
    <xf numFmtId="177" fontId="6" fillId="0" borderId="10" xfId="0" applyNumberFormat="1" applyFont="1" applyFill="1" applyBorder="1" applyAlignment="1">
      <alignment horizontal="center" vertical="center" wrapText="1"/>
    </xf>
    <xf numFmtId="177" fontId="14" fillId="0" borderId="10" xfId="0" applyNumberFormat="1" applyFont="1" applyFill="1" applyBorder="1" applyAlignment="1">
      <alignment horizontal="center" vertical="center" wrapText="1"/>
    </xf>
    <xf numFmtId="0" fontId="6" fillId="0" borderId="10" xfId="22" applyNumberFormat="1" applyFont="1" applyFill="1" applyBorder="1" applyAlignment="1">
      <alignment horizontal="center" vertical="center"/>
    </xf>
    <xf numFmtId="0" fontId="6" fillId="0" borderId="10" xfId="68" applyFont="1" applyFill="1" applyBorder="1" applyAlignment="1">
      <alignment horizontal="center" vertical="center"/>
      <protection/>
    </xf>
    <xf numFmtId="0" fontId="0" fillId="0" borderId="10" xfId="0" applyFont="1" applyFill="1" applyBorder="1" applyAlignment="1">
      <alignment horizontal="left" vertical="center" wrapText="1"/>
    </xf>
    <xf numFmtId="0" fontId="13" fillId="0" borderId="0" xfId="0" applyNumberFormat="1" applyFont="1" applyFill="1" applyAlignment="1">
      <alignment horizontal="center" vertical="center"/>
    </xf>
    <xf numFmtId="177" fontId="6" fillId="0" borderId="10" xfId="25" applyNumberFormat="1" applyFont="1" applyFill="1" applyBorder="1" applyAlignment="1">
      <alignment horizontal="center" vertical="center"/>
    </xf>
    <xf numFmtId="177" fontId="6" fillId="0" borderId="10" xfId="22"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43" fontId="9" fillId="0" borderId="0" xfId="0" applyNumberFormat="1" applyFont="1" applyFill="1" applyBorder="1" applyAlignment="1">
      <alignment horizontal="center" vertical="center"/>
    </xf>
    <xf numFmtId="0" fontId="6" fillId="0" borderId="0" xfId="0" applyFont="1" applyFill="1" applyAlignment="1">
      <alignment horizontal="center" vertical="center"/>
    </xf>
    <xf numFmtId="178" fontId="6" fillId="0" borderId="10" xfId="22"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77" fontId="10" fillId="0" borderId="10" xfId="25" applyNumberFormat="1" applyFont="1" applyFill="1" applyBorder="1" applyAlignment="1">
      <alignment horizontal="center" vertical="center"/>
    </xf>
    <xf numFmtId="177" fontId="9" fillId="0" borderId="10" xfId="0" applyNumberFormat="1" applyFont="1" applyFill="1" applyBorder="1" applyAlignment="1">
      <alignment horizontal="center" vertical="center" wrapText="1"/>
    </xf>
    <xf numFmtId="177" fontId="9" fillId="0" borderId="10" xfId="22" applyNumberFormat="1" applyFont="1" applyFill="1" applyBorder="1" applyAlignment="1">
      <alignment horizontal="center" vertical="center"/>
    </xf>
    <xf numFmtId="177" fontId="9" fillId="0" borderId="10" xfId="0" applyNumberFormat="1" applyFont="1" applyFill="1" applyBorder="1" applyAlignment="1">
      <alignment horizontal="center" vertical="center"/>
    </xf>
    <xf numFmtId="177" fontId="10" fillId="0" borderId="10" xfId="0" applyNumberFormat="1" applyFont="1" applyFill="1" applyBorder="1" applyAlignment="1">
      <alignment horizontal="center" vertical="center" wrapText="1"/>
    </xf>
    <xf numFmtId="178" fontId="9" fillId="0" borderId="10" xfId="22" applyNumberFormat="1" applyFont="1" applyFill="1" applyBorder="1" applyAlignment="1">
      <alignment horizontal="center" vertical="center"/>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0" fontId="9" fillId="0" borderId="10" xfId="0" applyNumberFormat="1" applyFont="1" applyFill="1" applyBorder="1" applyAlignment="1">
      <alignment horizontal="center" vertical="center" wrapText="1"/>
    </xf>
    <xf numFmtId="177" fontId="10"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178" fontId="9" fillId="0" borderId="10" xfId="0" applyNumberFormat="1" applyFont="1" applyFill="1" applyBorder="1" applyAlignment="1">
      <alignment horizontal="center" vertical="center"/>
    </xf>
    <xf numFmtId="0" fontId="0" fillId="0" borderId="0" xfId="0" applyFont="1" applyFill="1" applyAlignment="1">
      <alignment horizontal="center" vertical="center"/>
    </xf>
    <xf numFmtId="0" fontId="9" fillId="0" borderId="0" xfId="68" applyFont="1" applyFill="1">
      <alignment vertical="center"/>
      <protection/>
    </xf>
    <xf numFmtId="0" fontId="10" fillId="0" borderId="0" xfId="68" applyFont="1" applyFill="1" applyAlignment="1">
      <alignment horizontal="center" vertical="center"/>
      <protection/>
    </xf>
    <xf numFmtId="0" fontId="9" fillId="0" borderId="0" xfId="68" applyFont="1" applyFill="1" applyAlignment="1">
      <alignment horizontal="center" vertical="center" wrapText="1"/>
      <protection/>
    </xf>
    <xf numFmtId="0" fontId="11" fillId="0" borderId="0" xfId="68" applyFont="1" applyFill="1">
      <alignment vertical="center"/>
      <protection/>
    </xf>
    <xf numFmtId="0" fontId="1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68" applyFont="1" applyFill="1" applyBorder="1">
      <alignment vertical="center"/>
      <protection/>
    </xf>
    <xf numFmtId="0" fontId="10" fillId="0" borderId="0" xfId="68" applyFont="1" applyFill="1">
      <alignment vertical="center"/>
      <protection/>
    </xf>
    <xf numFmtId="0" fontId="9" fillId="0" borderId="0" xfId="68" applyFont="1" applyFill="1">
      <alignment vertical="center"/>
      <protection/>
    </xf>
    <xf numFmtId="0" fontId="11" fillId="0" borderId="0" xfId="68" applyFont="1" applyFill="1">
      <alignment vertical="center"/>
      <protection/>
    </xf>
    <xf numFmtId="0" fontId="0" fillId="0" borderId="0" xfId="68" applyFill="1">
      <alignment vertical="center"/>
      <protection/>
    </xf>
    <xf numFmtId="0" fontId="9" fillId="0" borderId="0" xfId="68" applyFont="1" applyFill="1" applyAlignment="1">
      <alignment horizontal="center" vertical="center"/>
      <protection/>
    </xf>
    <xf numFmtId="10" fontId="0" fillId="0" borderId="0" xfId="27" applyNumberFormat="1" applyFill="1" applyAlignment="1">
      <alignment horizontal="center" vertical="center"/>
    </xf>
    <xf numFmtId="10" fontId="1" fillId="0" borderId="0" xfId="27" applyNumberFormat="1" applyFont="1" applyFill="1" applyAlignment="1">
      <alignment horizontal="center" vertical="center"/>
    </xf>
    <xf numFmtId="0" fontId="12" fillId="0" borderId="0" xfId="68" applyFont="1" applyFill="1">
      <alignment vertical="center"/>
      <protection/>
    </xf>
    <xf numFmtId="0" fontId="13" fillId="0" borderId="0" xfId="68" applyFont="1" applyFill="1" applyAlignment="1">
      <alignment horizontal="center" vertical="center"/>
      <protection/>
    </xf>
    <xf numFmtId="0" fontId="10" fillId="0" borderId="10" xfId="68" applyFont="1" applyFill="1" applyBorder="1" applyAlignment="1">
      <alignment horizontal="center" vertical="center"/>
      <protection/>
    </xf>
    <xf numFmtId="0" fontId="10" fillId="0" borderId="10" xfId="68" applyFont="1" applyFill="1" applyBorder="1" applyAlignment="1">
      <alignment horizontal="center" vertical="center" wrapText="1"/>
      <protection/>
    </xf>
    <xf numFmtId="0" fontId="10" fillId="0" borderId="12" xfId="68" applyFont="1" applyFill="1" applyBorder="1" applyAlignment="1">
      <alignment horizontal="center" vertical="center" wrapText="1"/>
      <protection/>
    </xf>
    <xf numFmtId="10" fontId="14" fillId="0" borderId="10" xfId="27" applyNumberFormat="1" applyFont="1" applyFill="1" applyBorder="1" applyAlignment="1">
      <alignment horizontal="center" vertical="center" wrapText="1"/>
    </xf>
    <xf numFmtId="0" fontId="10" fillId="0" borderId="11" xfId="68" applyFont="1" applyFill="1" applyBorder="1" applyAlignment="1">
      <alignment horizontal="center" vertical="center" wrapText="1"/>
      <protection/>
    </xf>
    <xf numFmtId="0" fontId="9" fillId="0" borderId="10" xfId="68" applyFont="1" applyFill="1" applyBorder="1" applyAlignment="1">
      <alignment horizontal="center" vertical="center" wrapText="1"/>
      <protection/>
    </xf>
    <xf numFmtId="10" fontId="9" fillId="0" borderId="10" xfId="27" applyNumberFormat="1" applyFont="1" applyFill="1" applyBorder="1" applyAlignment="1">
      <alignment horizontal="center" vertical="center" wrapText="1"/>
    </xf>
    <xf numFmtId="10" fontId="6" fillId="0" borderId="10" xfId="27" applyNumberFormat="1" applyFont="1" applyFill="1" applyBorder="1" applyAlignment="1">
      <alignment horizontal="center" vertical="center"/>
    </xf>
    <xf numFmtId="0" fontId="10" fillId="0" borderId="10" xfId="68" applyFont="1" applyFill="1" applyBorder="1" applyAlignment="1">
      <alignment horizontal="center" vertical="center"/>
      <protection/>
    </xf>
    <xf numFmtId="0" fontId="10" fillId="0" borderId="10" xfId="68" applyFont="1" applyFill="1" applyBorder="1" applyAlignment="1">
      <alignment horizontal="center" vertical="center" wrapText="1"/>
      <protection/>
    </xf>
    <xf numFmtId="179" fontId="10" fillId="0" borderId="10" xfId="68" applyNumberFormat="1" applyFont="1" applyFill="1" applyBorder="1" applyAlignment="1">
      <alignment horizontal="center" vertical="center" wrapText="1"/>
      <protection/>
    </xf>
    <xf numFmtId="10" fontId="9" fillId="0" borderId="10" xfId="27" applyNumberFormat="1" applyFont="1" applyFill="1" applyBorder="1" applyAlignment="1">
      <alignment horizontal="center" vertical="center"/>
    </xf>
    <xf numFmtId="9" fontId="14" fillId="0" borderId="10" xfId="27" applyFont="1" applyFill="1" applyBorder="1" applyAlignment="1" applyProtection="1">
      <alignment horizontal="center" vertical="center"/>
      <protection/>
    </xf>
    <xf numFmtId="0" fontId="10" fillId="0" borderId="10" xfId="0" applyNumberFormat="1" applyFont="1" applyFill="1" applyBorder="1" applyAlignment="1">
      <alignment horizontal="center" vertical="center" wrapText="1"/>
    </xf>
    <xf numFmtId="0" fontId="9" fillId="0" borderId="10" xfId="22" applyNumberFormat="1" applyFont="1" applyFill="1" applyBorder="1" applyAlignment="1">
      <alignment horizontal="center" vertical="center"/>
    </xf>
    <xf numFmtId="0" fontId="9" fillId="0" borderId="10" xfId="68" applyFont="1" applyFill="1" applyBorder="1" applyAlignment="1">
      <alignment horizontal="center" vertical="center"/>
      <protection/>
    </xf>
    <xf numFmtId="10" fontId="9" fillId="0" borderId="10" xfId="27" applyNumberFormat="1" applyFont="1" applyFill="1" applyBorder="1" applyAlignment="1">
      <alignment horizontal="center" vertical="center"/>
    </xf>
    <xf numFmtId="9" fontId="6" fillId="0" borderId="10" xfId="27" applyFont="1" applyFill="1" applyBorder="1" applyAlignment="1" applyProtection="1">
      <alignment horizontal="center" vertical="center"/>
      <protection/>
    </xf>
    <xf numFmtId="10" fontId="10" fillId="0" borderId="10" xfId="27" applyNumberFormat="1" applyFont="1" applyFill="1" applyBorder="1" applyAlignment="1">
      <alignment horizontal="center" vertical="center"/>
    </xf>
    <xf numFmtId="0" fontId="9" fillId="0" borderId="0" xfId="68" applyFont="1" applyFill="1" applyAlignment="1">
      <alignment horizontal="center" vertical="center"/>
      <protection/>
    </xf>
    <xf numFmtId="0" fontId="9" fillId="0" borderId="10" xfId="68" applyFont="1" applyFill="1" applyBorder="1" applyAlignment="1">
      <alignment horizontal="center" vertical="center"/>
      <protection/>
    </xf>
    <xf numFmtId="0" fontId="9" fillId="0" borderId="10" xfId="68" applyFont="1" applyFill="1" applyBorder="1" applyAlignment="1">
      <alignment horizontal="center" vertical="center" wrapText="1"/>
      <protection/>
    </xf>
    <xf numFmtId="9" fontId="6" fillId="0" borderId="10" xfId="27" applyFont="1" applyFill="1" applyBorder="1" applyAlignment="1" applyProtection="1">
      <alignment horizontal="center" vertical="center"/>
      <protection/>
    </xf>
    <xf numFmtId="0" fontId="10" fillId="0" borderId="0" xfId="68" applyFont="1" applyFill="1">
      <alignment vertical="center"/>
      <protection/>
    </xf>
    <xf numFmtId="177" fontId="10" fillId="0" borderId="0" xfId="0" applyNumberFormat="1" applyFont="1" applyFill="1" applyBorder="1" applyAlignment="1">
      <alignment horizontal="center" vertical="center" wrapText="1"/>
    </xf>
    <xf numFmtId="177" fontId="9" fillId="0" borderId="10" xfId="25" applyNumberFormat="1" applyFont="1" applyFill="1" applyBorder="1" applyAlignment="1">
      <alignment horizontal="center" vertical="center"/>
    </xf>
    <xf numFmtId="177" fontId="9" fillId="0" borderId="0" xfId="25" applyNumberFormat="1" applyFont="1" applyFill="1" applyBorder="1" applyAlignment="1">
      <alignment horizontal="center" vertical="center"/>
    </xf>
    <xf numFmtId="177" fontId="9" fillId="0" borderId="0" xfId="22" applyNumberFormat="1" applyFont="1" applyFill="1" applyBorder="1" applyAlignment="1">
      <alignment horizontal="center" vertical="center"/>
    </xf>
    <xf numFmtId="178" fontId="9" fillId="0" borderId="10" xfId="67" applyNumberFormat="1" applyFont="1" applyFill="1" applyBorder="1" applyAlignment="1">
      <alignment horizontal="center" vertical="center"/>
    </xf>
    <xf numFmtId="178" fontId="9" fillId="0" borderId="10" xfId="67" applyNumberFormat="1" applyFont="1" applyFill="1" applyBorder="1" applyAlignment="1">
      <alignment horizontal="center" vertical="center"/>
    </xf>
    <xf numFmtId="178" fontId="10" fillId="0" borderId="10" xfId="67" applyNumberFormat="1" applyFont="1" applyFill="1" applyBorder="1" applyAlignment="1">
      <alignment horizontal="center" vertical="center"/>
    </xf>
    <xf numFmtId="178" fontId="9" fillId="0" borderId="0" xfId="22" applyNumberFormat="1" applyFont="1" applyFill="1" applyBorder="1" applyAlignment="1">
      <alignment horizontal="center" vertical="center"/>
    </xf>
    <xf numFmtId="177" fontId="9" fillId="0" borderId="0" xfId="22" applyNumberFormat="1" applyFont="1" applyFill="1" applyBorder="1" applyAlignment="1">
      <alignment horizontal="center" vertical="center"/>
    </xf>
    <xf numFmtId="178" fontId="9" fillId="0" borderId="0" xfId="22" applyNumberFormat="1" applyFont="1" applyFill="1" applyBorder="1" applyAlignment="1">
      <alignment horizontal="center" vertical="center"/>
    </xf>
    <xf numFmtId="177"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178" fontId="9"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0" xfId="68" applyFill="1" applyBorder="1">
      <alignment vertical="center"/>
      <protection/>
    </xf>
    <xf numFmtId="0" fontId="0" fillId="0" borderId="0" xfId="68" applyFont="1" applyFill="1" applyBorder="1">
      <alignment vertical="center"/>
      <protection/>
    </xf>
    <xf numFmtId="0" fontId="0" fillId="0" borderId="0" xfId="68" applyFont="1" applyFill="1">
      <alignment vertical="center"/>
      <protection/>
    </xf>
    <xf numFmtId="0" fontId="0" fillId="0" borderId="0" xfId="68" applyFill="1">
      <alignment vertical="center"/>
      <protection/>
    </xf>
    <xf numFmtId="0" fontId="0" fillId="0" borderId="0" xfId="68" applyFont="1" applyFill="1" applyBorder="1">
      <alignment vertical="center"/>
      <protection/>
    </xf>
    <xf numFmtId="0" fontId="0" fillId="0" borderId="0" xfId="0" applyFill="1" applyBorder="1" applyAlignment="1">
      <alignment horizontal="center" vertical="center"/>
    </xf>
    <xf numFmtId="0" fontId="0" fillId="0" borderId="0" xfId="68" applyAlignment="1">
      <alignment horizontal="center" vertical="center"/>
      <protection/>
    </xf>
    <xf numFmtId="0" fontId="0" fillId="0" borderId="0" xfId="68" applyFont="1">
      <alignment vertical="center"/>
      <protection/>
    </xf>
    <xf numFmtId="0" fontId="11" fillId="2" borderId="0" xfId="68" applyFont="1" applyFill="1">
      <alignment vertical="center"/>
      <protection/>
    </xf>
    <xf numFmtId="0" fontId="0" fillId="2" borderId="0" xfId="68" applyFill="1">
      <alignment vertical="center"/>
      <protection/>
    </xf>
    <xf numFmtId="0" fontId="15" fillId="0" borderId="0" xfId="68" applyFont="1">
      <alignment vertical="center"/>
      <protection/>
    </xf>
    <xf numFmtId="0" fontId="0" fillId="0" borderId="0" xfId="68" applyAlignment="1">
      <alignment horizontal="left" vertical="center"/>
      <protection/>
    </xf>
    <xf numFmtId="0" fontId="0" fillId="0" borderId="0" xfId="68">
      <alignment vertical="center"/>
      <protection/>
    </xf>
    <xf numFmtId="180" fontId="0" fillId="0" borderId="0" xfId="68" applyNumberFormat="1">
      <alignment vertical="center"/>
      <protection/>
    </xf>
    <xf numFmtId="180" fontId="15" fillId="2" borderId="0" xfId="68" applyNumberFormat="1" applyFont="1" applyFill="1" applyAlignment="1">
      <alignment horizontal="center" vertical="center"/>
      <protection/>
    </xf>
    <xf numFmtId="0" fontId="12" fillId="0" borderId="0" xfId="68" applyFont="1">
      <alignment vertical="center"/>
      <protection/>
    </xf>
    <xf numFmtId="0" fontId="16" fillId="0" borderId="9" xfId="68" applyFont="1" applyBorder="1" applyAlignment="1">
      <alignment horizontal="center" vertical="center"/>
      <protection/>
    </xf>
    <xf numFmtId="0" fontId="17" fillId="0" borderId="9" xfId="68" applyFont="1" applyBorder="1" applyAlignment="1">
      <alignment horizontal="center" vertical="center"/>
      <protection/>
    </xf>
    <xf numFmtId="0" fontId="11" fillId="0" borderId="10" xfId="68" applyFont="1" applyBorder="1" applyAlignment="1">
      <alignment horizontal="center" vertical="center" wrapText="1"/>
      <protection/>
    </xf>
    <xf numFmtId="0" fontId="11" fillId="0" borderId="17" xfId="68" applyFont="1" applyBorder="1" applyAlignment="1">
      <alignment horizontal="center" vertical="center"/>
      <protection/>
    </xf>
    <xf numFmtId="0" fontId="11" fillId="0" borderId="18" xfId="68" applyFont="1" applyBorder="1" applyAlignment="1">
      <alignment horizontal="center" vertical="center"/>
      <protection/>
    </xf>
    <xf numFmtId="0" fontId="11" fillId="0" borderId="19" xfId="68" applyFont="1" applyBorder="1" applyAlignment="1">
      <alignment horizontal="center" vertical="center"/>
      <protection/>
    </xf>
    <xf numFmtId="0" fontId="11" fillId="0" borderId="12" xfId="68" applyFont="1" applyBorder="1" applyAlignment="1">
      <alignment horizontal="center" vertical="center" wrapText="1"/>
      <protection/>
    </xf>
    <xf numFmtId="180" fontId="11" fillId="0" borderId="12" xfId="68" applyNumberFormat="1" applyFont="1" applyBorder="1" applyAlignment="1">
      <alignment horizontal="center" vertical="center" wrapText="1"/>
      <protection/>
    </xf>
    <xf numFmtId="0" fontId="11" fillId="0" borderId="20" xfId="68" applyFont="1" applyBorder="1" applyAlignment="1">
      <alignment horizontal="center" vertical="center"/>
      <protection/>
    </xf>
    <xf numFmtId="0" fontId="11" fillId="0" borderId="0" xfId="68" applyFont="1" applyAlignment="1">
      <alignment horizontal="center" vertical="center"/>
      <protection/>
    </xf>
    <xf numFmtId="0" fontId="11" fillId="0" borderId="21" xfId="68" applyFont="1" applyBorder="1" applyAlignment="1">
      <alignment horizontal="center" vertical="center"/>
      <protection/>
    </xf>
    <xf numFmtId="0" fontId="11" fillId="0" borderId="11" xfId="68" applyFont="1" applyBorder="1" applyAlignment="1">
      <alignment horizontal="center" vertical="center" wrapText="1"/>
      <protection/>
    </xf>
    <xf numFmtId="180" fontId="11" fillId="0" borderId="11" xfId="68" applyNumberFormat="1" applyFont="1" applyBorder="1" applyAlignment="1">
      <alignment horizontal="center" vertical="center" wrapText="1"/>
      <protection/>
    </xf>
    <xf numFmtId="0" fontId="11" fillId="0" borderId="22" xfId="68" applyFont="1" applyBorder="1" applyAlignment="1">
      <alignment horizontal="center" vertical="center"/>
      <protection/>
    </xf>
    <xf numFmtId="0" fontId="11" fillId="0" borderId="9" xfId="68" applyFont="1" applyBorder="1" applyAlignment="1">
      <alignment horizontal="center" vertical="center"/>
      <protection/>
    </xf>
    <xf numFmtId="0" fontId="11" fillId="0" borderId="23" xfId="68" applyFont="1" applyBorder="1" applyAlignment="1">
      <alignment horizontal="center" vertical="center"/>
      <protection/>
    </xf>
    <xf numFmtId="177" fontId="11" fillId="0" borderId="10" xfId="68" applyNumberFormat="1" applyFont="1" applyBorder="1" applyAlignment="1">
      <alignment horizontal="center" vertical="center" wrapText="1"/>
      <protection/>
    </xf>
    <xf numFmtId="0" fontId="11" fillId="0" borderId="10" xfId="68" applyFont="1" applyFill="1" applyBorder="1" applyAlignment="1">
      <alignment horizontal="center" vertical="center"/>
      <protection/>
    </xf>
    <xf numFmtId="0" fontId="11" fillId="0" borderId="10" xfId="68" applyFont="1" applyFill="1" applyBorder="1">
      <alignment vertical="center"/>
      <protection/>
    </xf>
    <xf numFmtId="0" fontId="0" fillId="0" borderId="24" xfId="68" applyFont="1" applyFill="1" applyBorder="1" applyAlignment="1">
      <alignment horizontal="center" vertical="center"/>
      <protection/>
    </xf>
    <xf numFmtId="0" fontId="0" fillId="0" borderId="15" xfId="68" applyFont="1" applyFill="1" applyBorder="1" applyAlignment="1">
      <alignment horizontal="center" vertical="center"/>
      <protection/>
    </xf>
    <xf numFmtId="0" fontId="0" fillId="0" borderId="16" xfId="68" applyFont="1" applyFill="1" applyBorder="1" applyAlignment="1">
      <alignment horizontal="center" vertical="center"/>
      <protection/>
    </xf>
    <xf numFmtId="0" fontId="0" fillId="0" borderId="16" xfId="68" applyFont="1" applyFill="1" applyBorder="1">
      <alignment vertical="center"/>
      <protection/>
    </xf>
    <xf numFmtId="0" fontId="11" fillId="0" borderId="10" xfId="68" applyFont="1" applyFill="1" applyBorder="1" applyAlignment="1">
      <alignment horizontal="center" vertical="center" wrapText="1"/>
      <protection/>
    </xf>
    <xf numFmtId="0" fontId="11" fillId="0" borderId="10" xfId="68" applyFont="1" applyFill="1" applyBorder="1">
      <alignment vertical="center"/>
      <protection/>
    </xf>
    <xf numFmtId="0" fontId="0" fillId="0" borderId="10" xfId="68" applyFont="1" applyFill="1" applyBorder="1" applyAlignment="1">
      <alignment horizontal="center" vertical="center" wrapText="1"/>
      <protection/>
    </xf>
    <xf numFmtId="0" fontId="0" fillId="0" borderId="10" xfId="68" applyFont="1" applyFill="1" applyBorder="1" applyAlignment="1">
      <alignment vertical="center" wrapText="1"/>
      <protection/>
    </xf>
    <xf numFmtId="0" fontId="0" fillId="0" borderId="10" xfId="68" applyFill="1" applyBorder="1" applyAlignment="1">
      <alignment horizontal="left" vertical="center" wrapText="1"/>
      <protection/>
    </xf>
    <xf numFmtId="0" fontId="0" fillId="0" borderId="10" xfId="68" applyFill="1" applyBorder="1" applyAlignment="1">
      <alignment horizontal="center" vertical="center" wrapText="1"/>
      <protection/>
    </xf>
    <xf numFmtId="180" fontId="0" fillId="0" borderId="10" xfId="68" applyNumberFormat="1" applyFill="1" applyBorder="1" applyAlignment="1">
      <alignment horizontal="center" vertical="center" wrapText="1"/>
      <protection/>
    </xf>
    <xf numFmtId="181" fontId="0" fillId="0" borderId="10" xfId="68" applyNumberFormat="1" applyFill="1" applyBorder="1" applyAlignment="1">
      <alignment horizontal="center" vertical="center" wrapText="1"/>
      <protection/>
    </xf>
    <xf numFmtId="0" fontId="0" fillId="0" borderId="10" xfId="68" applyFill="1" applyBorder="1" applyAlignment="1">
      <alignment horizontal="center" vertical="center" wrapText="1"/>
      <protection/>
    </xf>
    <xf numFmtId="0" fontId="18" fillId="0" borderId="10" xfId="68" applyFont="1" applyFill="1" applyBorder="1" applyAlignment="1">
      <alignment horizontal="center" vertical="center" wrapText="1"/>
      <protection/>
    </xf>
    <xf numFmtId="0" fontId="0" fillId="0" borderId="24" xfId="68" applyFont="1" applyFill="1" applyBorder="1" applyAlignment="1">
      <alignment horizontal="center" vertical="center" wrapText="1"/>
      <protection/>
    </xf>
    <xf numFmtId="0" fontId="0" fillId="0" borderId="15" xfId="68" applyFill="1" applyBorder="1" applyAlignment="1">
      <alignment horizontal="center" vertical="center" wrapText="1"/>
      <protection/>
    </xf>
    <xf numFmtId="0" fontId="0" fillId="0" borderId="16" xfId="68" applyFill="1" applyBorder="1" applyAlignment="1">
      <alignment horizontal="center" vertical="center" wrapText="1"/>
      <protection/>
    </xf>
    <xf numFmtId="0" fontId="0" fillId="0" borderId="10" xfId="68" applyFill="1" applyBorder="1" applyAlignment="1">
      <alignment vertical="center" wrapText="1"/>
      <protection/>
    </xf>
    <xf numFmtId="0" fontId="0" fillId="0" borderId="10" xfId="68" applyFill="1" applyBorder="1" applyAlignment="1">
      <alignment horizontal="center" vertical="center" wrapText="1"/>
      <protection/>
    </xf>
    <xf numFmtId="0" fontId="15" fillId="0" borderId="10" xfId="68" applyFont="1" applyFill="1" applyBorder="1" applyAlignment="1">
      <alignment horizontal="center" vertical="center" wrapText="1"/>
      <protection/>
    </xf>
    <xf numFmtId="0" fontId="15" fillId="0" borderId="10" xfId="68" applyFont="1" applyFill="1" applyBorder="1" applyAlignment="1">
      <alignment horizontal="left" vertical="center" wrapText="1"/>
      <protection/>
    </xf>
    <xf numFmtId="0" fontId="0" fillId="0" borderId="12" xfId="68" applyFill="1" applyBorder="1" applyAlignment="1">
      <alignment horizontal="center" vertical="center" wrapText="1"/>
      <protection/>
    </xf>
    <xf numFmtId="0" fontId="0" fillId="0" borderId="10" xfId="68" applyFont="1" applyFill="1" applyBorder="1" applyAlignment="1">
      <alignment horizontal="center" vertical="center" wrapText="1"/>
      <protection/>
    </xf>
    <xf numFmtId="0" fontId="15" fillId="0" borderId="12" xfId="68" applyFont="1" applyFill="1" applyBorder="1" applyAlignment="1">
      <alignment horizontal="center" vertical="center" wrapText="1"/>
      <protection/>
    </xf>
    <xf numFmtId="0" fontId="0" fillId="0" borderId="10" xfId="68" applyFont="1" applyFill="1" applyBorder="1" applyAlignment="1">
      <alignment horizontal="center" vertical="center" wrapText="1"/>
      <protection/>
    </xf>
    <xf numFmtId="0" fontId="0" fillId="0" borderId="25" xfId="68" applyFill="1" applyBorder="1" applyAlignment="1">
      <alignment horizontal="center" vertical="center" wrapText="1"/>
      <protection/>
    </xf>
    <xf numFmtId="0" fontId="15" fillId="0" borderId="25" xfId="68" applyFont="1" applyFill="1" applyBorder="1" applyAlignment="1">
      <alignment horizontal="center" vertical="center" wrapText="1"/>
      <protection/>
    </xf>
    <xf numFmtId="0" fontId="0" fillId="0" borderId="10" xfId="68" applyFont="1" applyFill="1" applyBorder="1" applyAlignment="1">
      <alignment horizontal="center" vertical="center" wrapText="1"/>
      <protection/>
    </xf>
    <xf numFmtId="0" fontId="0" fillId="0" borderId="25" xfId="68" applyFill="1" applyBorder="1" applyAlignment="1">
      <alignment horizontal="center" vertical="center" wrapText="1"/>
      <protection/>
    </xf>
    <xf numFmtId="0" fontId="15" fillId="0" borderId="11" xfId="68" applyFont="1" applyFill="1" applyBorder="1" applyAlignment="1">
      <alignment horizontal="center" vertical="center" wrapText="1"/>
      <protection/>
    </xf>
    <xf numFmtId="0" fontId="15" fillId="0" borderId="25" xfId="68" applyFont="1" applyFill="1" applyBorder="1" applyAlignment="1">
      <alignment horizontal="center" vertical="center" wrapText="1"/>
      <protection/>
    </xf>
    <xf numFmtId="0" fontId="18" fillId="0" borderId="10" xfId="68" applyFont="1" applyFill="1" applyBorder="1" applyAlignment="1">
      <alignment horizontal="left" vertical="center" wrapText="1"/>
      <protection/>
    </xf>
    <xf numFmtId="0" fontId="0" fillId="0" borderId="11" xfId="68" applyFill="1" applyBorder="1" applyAlignment="1">
      <alignment horizontal="center" vertical="center" wrapText="1"/>
      <protection/>
    </xf>
    <xf numFmtId="0" fontId="11" fillId="0" borderId="24" xfId="68" applyFont="1" applyFill="1" applyBorder="1" applyAlignment="1">
      <alignment horizontal="center" vertical="center" wrapText="1"/>
      <protection/>
    </xf>
    <xf numFmtId="0" fontId="11" fillId="0" borderId="15" xfId="68" applyFont="1" applyFill="1" applyBorder="1" applyAlignment="1">
      <alignment horizontal="center" vertical="center" wrapText="1"/>
      <protection/>
    </xf>
    <xf numFmtId="0" fontId="11" fillId="0" borderId="16" xfId="68" applyFont="1" applyFill="1" applyBorder="1" applyAlignment="1">
      <alignment horizontal="center" vertical="center" wrapText="1"/>
      <protection/>
    </xf>
    <xf numFmtId="0" fontId="11" fillId="0" borderId="10" xfId="68" applyFont="1" applyFill="1" applyBorder="1" applyAlignment="1">
      <alignment vertical="center" wrapText="1"/>
      <protection/>
    </xf>
    <xf numFmtId="0" fontId="0" fillId="0" borderId="10" xfId="68" applyFont="1" applyFill="1" applyBorder="1" applyAlignment="1">
      <alignment horizontal="left" vertical="center" wrapText="1"/>
      <protection/>
    </xf>
    <xf numFmtId="0" fontId="0" fillId="0" borderId="12" xfId="68" applyFill="1" applyBorder="1" applyAlignment="1">
      <alignment horizontal="center" vertical="center" wrapText="1"/>
      <protection/>
    </xf>
    <xf numFmtId="0" fontId="0" fillId="0" borderId="11" xfId="68" applyFill="1" applyBorder="1" applyAlignment="1">
      <alignment horizontal="center" vertical="center" wrapText="1"/>
      <protection/>
    </xf>
    <xf numFmtId="0" fontId="0" fillId="0" borderId="0" xfId="68" applyFont="1" applyFill="1" applyBorder="1" applyAlignment="1">
      <alignment horizontal="left" vertical="center" wrapText="1"/>
      <protection/>
    </xf>
    <xf numFmtId="0" fontId="0" fillId="0" borderId="0" xfId="68" applyFill="1" applyBorder="1" applyAlignment="1">
      <alignment horizontal="left" vertical="center" wrapText="1"/>
      <protection/>
    </xf>
    <xf numFmtId="0" fontId="19" fillId="2" borderId="9" xfId="68" applyFont="1" applyFill="1" applyBorder="1" applyAlignment="1">
      <alignment horizontal="center" vertical="center"/>
      <protection/>
    </xf>
    <xf numFmtId="0" fontId="0" fillId="0" borderId="9" xfId="0" applyBorder="1" applyAlignment="1">
      <alignment vertical="center"/>
    </xf>
    <xf numFmtId="0" fontId="0" fillId="2" borderId="9" xfId="0" applyFill="1" applyBorder="1" applyAlignment="1">
      <alignment vertical="center"/>
    </xf>
    <xf numFmtId="180" fontId="11" fillId="0" borderId="24" xfId="68" applyNumberFormat="1" applyFont="1" applyBorder="1" applyAlignment="1">
      <alignment horizontal="center" vertical="center" wrapText="1"/>
      <protection/>
    </xf>
    <xf numFmtId="180" fontId="11" fillId="0" borderId="15" xfId="68" applyNumberFormat="1" applyFont="1" applyBorder="1" applyAlignment="1">
      <alignment horizontal="center" vertical="center" wrapText="1"/>
      <protection/>
    </xf>
    <xf numFmtId="180" fontId="11" fillId="0" borderId="16" xfId="68" applyNumberFormat="1" applyFont="1" applyBorder="1" applyAlignment="1">
      <alignment horizontal="center" vertical="center" wrapText="1"/>
      <protection/>
    </xf>
    <xf numFmtId="180" fontId="11" fillId="0" borderId="10" xfId="68" applyNumberFormat="1" applyFont="1" applyBorder="1" applyAlignment="1">
      <alignment horizontal="center" vertical="center" wrapText="1"/>
      <protection/>
    </xf>
    <xf numFmtId="180" fontId="11" fillId="2" borderId="10" xfId="68" applyNumberFormat="1" applyFont="1" applyFill="1" applyBorder="1" applyAlignment="1">
      <alignment horizontal="center" vertical="center" wrapText="1"/>
      <protection/>
    </xf>
    <xf numFmtId="177" fontId="11" fillId="2" borderId="10" xfId="68" applyNumberFormat="1" applyFont="1" applyFill="1" applyBorder="1" applyAlignment="1">
      <alignment horizontal="center" vertical="center" wrapText="1"/>
      <protection/>
    </xf>
    <xf numFmtId="0" fontId="0" fillId="0" borderId="10" xfId="68" applyFont="1" applyFill="1" applyBorder="1" applyAlignment="1">
      <alignment horizontal="center" vertical="center"/>
      <protection/>
    </xf>
    <xf numFmtId="9" fontId="0" fillId="0" borderId="10" xfId="25" applyNumberFormat="1" applyFill="1" applyBorder="1" applyAlignment="1">
      <alignment horizontal="center" vertical="center"/>
    </xf>
    <xf numFmtId="0" fontId="0" fillId="0" borderId="10" xfId="68" applyFont="1" applyFill="1" applyBorder="1" applyAlignment="1">
      <alignment horizontal="center" vertical="center"/>
      <protection/>
    </xf>
    <xf numFmtId="9" fontId="0" fillId="0" borderId="10" xfId="68" applyNumberFormat="1" applyFont="1" applyFill="1" applyBorder="1" applyAlignment="1">
      <alignment horizontal="center" vertical="center" wrapText="1"/>
      <protection/>
    </xf>
    <xf numFmtId="0" fontId="0" fillId="0" borderId="10" xfId="68" applyFont="1" applyFill="1" applyBorder="1">
      <alignment vertical="center"/>
      <protection/>
    </xf>
    <xf numFmtId="0" fontId="0" fillId="0" borderId="10" xfId="68" applyFill="1" applyBorder="1">
      <alignment vertical="center"/>
      <protection/>
    </xf>
    <xf numFmtId="9" fontId="0" fillId="0" borderId="10" xfId="68" applyNumberFormat="1" applyFill="1" applyBorder="1" applyAlignment="1">
      <alignment horizontal="center" vertical="center" wrapText="1"/>
      <protection/>
    </xf>
    <xf numFmtId="9" fontId="0" fillId="0" borderId="10" xfId="68" applyNumberFormat="1" applyFill="1" applyBorder="1" applyAlignment="1">
      <alignment horizontal="center" vertical="center"/>
      <protection/>
    </xf>
    <xf numFmtId="0" fontId="0" fillId="0" borderId="10" xfId="68" applyFill="1" applyBorder="1" applyAlignment="1">
      <alignment horizontal="center" vertical="center"/>
      <protection/>
    </xf>
    <xf numFmtId="0" fontId="0" fillId="0" borderId="10" xfId="68" applyFill="1" applyBorder="1" applyAlignment="1">
      <alignment horizontal="center" vertical="center"/>
      <protection/>
    </xf>
    <xf numFmtId="10" fontId="0" fillId="0" borderId="10" xfId="68" applyNumberFormat="1" applyFill="1" applyBorder="1" applyAlignment="1">
      <alignment horizontal="center" vertical="center" wrapText="1"/>
      <protection/>
    </xf>
    <xf numFmtId="182" fontId="0" fillId="0" borderId="10" xfId="68" applyNumberFormat="1" applyFill="1" applyBorder="1" applyAlignment="1">
      <alignment horizontal="center" vertical="center" wrapText="1"/>
      <protection/>
    </xf>
    <xf numFmtId="182" fontId="0" fillId="0" borderId="0" xfId="25" applyNumberFormat="1" applyFill="1" applyAlignment="1">
      <alignment horizontal="center" vertical="center"/>
    </xf>
    <xf numFmtId="0" fontId="11" fillId="0" borderId="10" xfId="68" applyFont="1" applyFill="1" applyBorder="1" applyAlignment="1">
      <alignment horizontal="center" vertical="center"/>
      <protection/>
    </xf>
    <xf numFmtId="182" fontId="0" fillId="0" borderId="10" xfId="68" applyNumberFormat="1" applyFont="1" applyFill="1" applyBorder="1" applyAlignment="1">
      <alignment horizontal="center" vertical="center" wrapText="1"/>
      <protection/>
    </xf>
    <xf numFmtId="9" fontId="0" fillId="0" borderId="10" xfId="68" applyNumberFormat="1" applyFont="1" applyFill="1" applyBorder="1" applyAlignment="1">
      <alignment horizontal="center" vertical="center"/>
      <protection/>
    </xf>
    <xf numFmtId="0" fontId="0" fillId="0" borderId="10" xfId="68" applyFont="1" applyFill="1" applyBorder="1" applyAlignment="1">
      <alignment horizontal="center" vertical="center"/>
      <protection/>
    </xf>
    <xf numFmtId="0" fontId="0" fillId="0" borderId="0" xfId="68" applyFill="1" applyBorder="1" applyAlignment="1">
      <alignment horizontal="center" vertical="center" wrapText="1"/>
      <protection/>
    </xf>
    <xf numFmtId="0" fontId="0" fillId="0" borderId="0" xfId="68" applyFill="1" applyBorder="1" applyAlignment="1">
      <alignment horizontal="left" vertical="center" wrapText="1"/>
      <protection/>
    </xf>
    <xf numFmtId="0" fontId="11" fillId="0" borderId="0" xfId="68" applyFont="1">
      <alignment vertical="center"/>
      <protection/>
    </xf>
    <xf numFmtId="0" fontId="3" fillId="0" borderId="0" xfId="0" applyNumberFormat="1" applyFont="1" applyFill="1" applyBorder="1" applyAlignment="1">
      <alignment vertical="center"/>
    </xf>
    <xf numFmtId="0" fontId="7"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3" fillId="0" borderId="0" xfId="0" applyNumberFormat="1" applyFont="1" applyFill="1" applyAlignment="1">
      <alignment horizontal="center" vertical="center"/>
    </xf>
    <xf numFmtId="0" fontId="11" fillId="0" borderId="0" xfId="0" applyNumberFormat="1" applyFont="1" applyFill="1" applyAlignment="1">
      <alignment vertical="center"/>
    </xf>
    <xf numFmtId="0" fontId="4" fillId="0" borderId="0" xfId="0" applyNumberFormat="1" applyFont="1" applyFill="1" applyAlignment="1">
      <alignment vertical="center"/>
    </xf>
    <xf numFmtId="0" fontId="3" fillId="0" borderId="0"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3" fillId="0" borderId="0" xfId="0" applyNumberFormat="1" applyFont="1" applyFill="1" applyBorder="1" applyAlignment="1">
      <alignment horizontal="right" vertical="center"/>
    </xf>
    <xf numFmtId="0" fontId="20" fillId="0" borderId="0" xfId="0" applyNumberFormat="1" applyFont="1" applyFill="1" applyAlignment="1">
      <alignment vertical="center"/>
    </xf>
    <xf numFmtId="0" fontId="21" fillId="0" borderId="0" xfId="0" applyNumberFormat="1" applyFont="1" applyFill="1" applyAlignment="1">
      <alignment horizontal="center" vertical="center"/>
    </xf>
    <xf numFmtId="0" fontId="5" fillId="0" borderId="0" xfId="0" applyNumberFormat="1" applyFont="1" applyFill="1" applyBorder="1" applyAlignment="1">
      <alignment horizontal="center" vertical="center"/>
    </xf>
    <xf numFmtId="0" fontId="5" fillId="0" borderId="0" xfId="0" applyNumberFormat="1" applyFont="1" applyFill="1" applyAlignment="1">
      <alignment horizontal="center" vertical="center"/>
    </xf>
    <xf numFmtId="0" fontId="7" fillId="0" borderId="10" xfId="0" applyNumberFormat="1" applyFont="1" applyFill="1" applyBorder="1" applyAlignment="1">
      <alignment horizontal="center" vertical="center"/>
    </xf>
    <xf numFmtId="0" fontId="22"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3" fillId="0" borderId="10" xfId="0" applyNumberFormat="1" applyFont="1" applyFill="1" applyBorder="1" applyAlignment="1">
      <alignment vertical="center"/>
    </xf>
    <xf numFmtId="0" fontId="3" fillId="0" borderId="10" xfId="0" applyNumberFormat="1" applyFont="1" applyFill="1" applyBorder="1" applyAlignment="1">
      <alignment horizontal="center" vertical="center" wrapText="1"/>
    </xf>
    <xf numFmtId="0" fontId="23" fillId="0" borderId="10" xfId="0" applyNumberFormat="1" applyFont="1" applyFill="1" applyBorder="1" applyAlignment="1">
      <alignment vertical="center"/>
    </xf>
    <xf numFmtId="0" fontId="23"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178" fontId="11" fillId="0" borderId="10" xfId="22" applyNumberFormat="1" applyFont="1" applyBorder="1">
      <alignment vertical="center"/>
    </xf>
    <xf numFmtId="0" fontId="23" fillId="0" borderId="10" xfId="0" applyNumberFormat="1" applyFont="1" applyFill="1" applyBorder="1" applyAlignment="1">
      <alignment vertical="center"/>
    </xf>
    <xf numFmtId="0" fontId="15" fillId="0" borderId="10" xfId="0" applyNumberFormat="1" applyFont="1" applyFill="1" applyBorder="1" applyAlignment="1">
      <alignment horizontal="center" vertical="center"/>
    </xf>
    <xf numFmtId="0" fontId="15" fillId="0" borderId="10" xfId="0" applyNumberFormat="1" applyFont="1" applyFill="1" applyBorder="1" applyAlignment="1">
      <alignment horizontal="center" vertical="center" wrapText="1"/>
    </xf>
    <xf numFmtId="178" fontId="0" fillId="0" borderId="10" xfId="22" applyNumberFormat="1" applyBorder="1">
      <alignment vertical="center"/>
    </xf>
    <xf numFmtId="0" fontId="23" fillId="0" borderId="10" xfId="0" applyNumberFormat="1" applyFont="1" applyFill="1" applyBorder="1" applyAlignment="1">
      <alignment vertical="center"/>
    </xf>
    <xf numFmtId="178" fontId="11" fillId="0" borderId="10" xfId="22" applyNumberFormat="1" applyFont="1" applyFill="1" applyBorder="1">
      <alignment vertical="center"/>
    </xf>
    <xf numFmtId="0" fontId="11" fillId="0" borderId="10" xfId="68" applyNumberFormat="1" applyFont="1" applyFill="1" applyBorder="1" applyAlignment="1">
      <alignment horizontal="center" vertical="center"/>
      <protection/>
    </xf>
    <xf numFmtId="0" fontId="0" fillId="0" borderId="10" xfId="68" applyNumberFormat="1" applyFont="1" applyFill="1" applyBorder="1" applyAlignment="1">
      <alignment horizontal="center" vertical="center"/>
      <protection/>
    </xf>
    <xf numFmtId="0" fontId="0" fillId="0" borderId="10" xfId="68" applyNumberFormat="1" applyFont="1" applyFill="1" applyBorder="1" applyAlignment="1">
      <alignment horizontal="center" vertical="center"/>
      <protection/>
    </xf>
    <xf numFmtId="0" fontId="3" fillId="0" borderId="0" xfId="0" applyNumberFormat="1" applyFont="1" applyFill="1" applyAlignment="1">
      <alignment horizontal="right" vertical="center"/>
    </xf>
    <xf numFmtId="0" fontId="7" fillId="0" borderId="12"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178" fontId="0" fillId="0" borderId="10" xfId="22" applyNumberFormat="1" applyFill="1" applyBorder="1">
      <alignment vertical="center"/>
    </xf>
    <xf numFmtId="0" fontId="4" fillId="0" borderId="0" xfId="0" applyNumberFormat="1" applyFont="1" applyFill="1" applyAlignment="1">
      <alignment horizontal="left" vertical="center" wrapText="1"/>
    </xf>
    <xf numFmtId="0" fontId="4" fillId="0" borderId="0" xfId="0" applyNumberFormat="1" applyFont="1" applyFill="1" applyAlignment="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千位分隔 2" xfId="67"/>
    <cellStyle name="常规 4" xfId="68"/>
    <cellStyle name="常规 4 2" xfId="69"/>
    <cellStyle name="千位分隔 2 2"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G136"/>
  <sheetViews>
    <sheetView tabSelected="1" zoomScale="85" zoomScaleNormal="85" zoomScaleSheetLayoutView="50" workbookViewId="0" topLeftCell="A1">
      <pane xSplit="2" ySplit="9" topLeftCell="C10" activePane="bottomRight" state="frozen"/>
      <selection pane="bottomRight" activeCell="D8" sqref="D8"/>
    </sheetView>
  </sheetViews>
  <sheetFormatPr defaultColWidth="8.125" defaultRowHeight="12" customHeight="1"/>
  <cols>
    <col min="1" max="1" width="10.125" style="265" customWidth="1"/>
    <col min="2" max="2" width="20.00390625" style="266" customWidth="1"/>
    <col min="3" max="3" width="13.25390625" style="266" customWidth="1"/>
    <col min="4" max="4" width="14.00390625" style="266" customWidth="1"/>
    <col min="5" max="5" width="20.875" style="260" customWidth="1"/>
    <col min="6" max="6" width="9.00390625" style="266" customWidth="1"/>
    <col min="7" max="7" width="11.375" style="260" customWidth="1"/>
    <col min="8" max="8" width="10.00390625" style="260" customWidth="1"/>
    <col min="9" max="9" width="9.875" style="260" customWidth="1"/>
    <col min="10" max="10" width="8.75390625" style="267" customWidth="1"/>
    <col min="11" max="11" width="9.25390625" style="267" customWidth="1"/>
    <col min="12" max="12" width="10.625" style="268" customWidth="1"/>
    <col min="13" max="13" width="10.75390625" style="260" customWidth="1"/>
    <col min="14" max="14" width="10.625" style="260" customWidth="1"/>
    <col min="15" max="15" width="8.75390625" style="260" customWidth="1"/>
    <col min="16" max="16" width="10.375" style="266" customWidth="1"/>
    <col min="17" max="17" width="9.00390625" style="260" customWidth="1"/>
    <col min="18" max="18" width="9.75390625" style="260" customWidth="1"/>
    <col min="19" max="241" width="9.00390625" style="260" customWidth="1"/>
    <col min="242" max="242" width="9.00390625" style="260" bestFit="1" customWidth="1"/>
    <col min="243" max="16384" width="8.125" style="260" customWidth="1"/>
  </cols>
  <sheetData>
    <row r="1" ht="12" customHeight="1">
      <c r="A1" s="269" t="s">
        <v>0</v>
      </c>
    </row>
    <row r="2" spans="1:16" s="260" customFormat="1" ht="34.5" customHeight="1">
      <c r="A2" s="270" t="s">
        <v>1</v>
      </c>
      <c r="B2" s="270"/>
      <c r="C2" s="270"/>
      <c r="D2" s="270"/>
      <c r="E2" s="270"/>
      <c r="F2" s="270"/>
      <c r="G2" s="270"/>
      <c r="H2" s="270"/>
      <c r="I2" s="270"/>
      <c r="J2" s="270"/>
      <c r="K2" s="270"/>
      <c r="L2" s="270"/>
      <c r="M2" s="270"/>
      <c r="N2" s="270"/>
      <c r="O2" s="270"/>
      <c r="P2" s="270"/>
    </row>
    <row r="3" spans="1:16" s="260" customFormat="1" ht="18" customHeight="1">
      <c r="A3" s="265"/>
      <c r="B3" s="271"/>
      <c r="C3" s="272"/>
      <c r="D3" s="272"/>
      <c r="E3" s="272"/>
      <c r="F3" s="272"/>
      <c r="G3" s="272"/>
      <c r="H3" s="272"/>
      <c r="I3" s="272"/>
      <c r="J3" s="272"/>
      <c r="K3" s="272"/>
      <c r="L3" s="272"/>
      <c r="M3" s="272"/>
      <c r="N3" s="272"/>
      <c r="O3" s="272"/>
      <c r="P3" s="293" t="s">
        <v>2</v>
      </c>
    </row>
    <row r="4" spans="1:16" s="261" customFormat="1" ht="16.5" customHeight="1">
      <c r="A4" s="273" t="s">
        <v>3</v>
      </c>
      <c r="B4" s="43" t="s">
        <v>4</v>
      </c>
      <c r="C4" s="274" t="s">
        <v>5</v>
      </c>
      <c r="D4" s="274"/>
      <c r="E4" s="274"/>
      <c r="F4" s="274"/>
      <c r="G4" s="274"/>
      <c r="H4" s="275" t="s">
        <v>6</v>
      </c>
      <c r="I4" s="273"/>
      <c r="J4" s="273"/>
      <c r="K4" s="273"/>
      <c r="L4" s="273"/>
      <c r="M4" s="275" t="s">
        <v>7</v>
      </c>
      <c r="N4" s="294" t="s">
        <v>8</v>
      </c>
      <c r="O4" s="275" t="s">
        <v>9</v>
      </c>
      <c r="P4" s="275" t="s">
        <v>10</v>
      </c>
    </row>
    <row r="5" spans="1:16" s="261" customFormat="1" ht="15" customHeight="1">
      <c r="A5" s="276"/>
      <c r="B5" s="43"/>
      <c r="C5" s="274" t="s">
        <v>11</v>
      </c>
      <c r="D5" s="274"/>
      <c r="E5" s="274"/>
      <c r="F5" s="274" t="s">
        <v>12</v>
      </c>
      <c r="G5" s="274" t="s">
        <v>13</v>
      </c>
      <c r="H5" s="275" t="s">
        <v>14</v>
      </c>
      <c r="I5" s="275"/>
      <c r="J5" s="275" t="s">
        <v>15</v>
      </c>
      <c r="K5" s="275"/>
      <c r="L5" s="275" t="s">
        <v>16</v>
      </c>
      <c r="M5" s="275"/>
      <c r="N5" s="295"/>
      <c r="O5" s="275"/>
      <c r="P5" s="275"/>
    </row>
    <row r="6" spans="1:16" s="261" customFormat="1" ht="43.5" customHeight="1">
      <c r="A6" s="276"/>
      <c r="B6" s="43"/>
      <c r="C6" s="274" t="s">
        <v>17</v>
      </c>
      <c r="D6" s="274" t="s">
        <v>18</v>
      </c>
      <c r="E6" s="274" t="s">
        <v>19</v>
      </c>
      <c r="F6" s="274" t="s">
        <v>19</v>
      </c>
      <c r="G6" s="274"/>
      <c r="H6" s="277" t="s">
        <v>20</v>
      </c>
      <c r="I6" s="277" t="s">
        <v>21</v>
      </c>
      <c r="J6" s="277" t="s">
        <v>20</v>
      </c>
      <c r="K6" s="277" t="s">
        <v>21</v>
      </c>
      <c r="L6" s="275"/>
      <c r="M6" s="275"/>
      <c r="N6" s="296"/>
      <c r="O6" s="275"/>
      <c r="P6" s="275"/>
    </row>
    <row r="7" spans="1:16" s="260" customFormat="1" ht="25.5" customHeight="1">
      <c r="A7" s="278"/>
      <c r="B7" s="279" t="s">
        <v>22</v>
      </c>
      <c r="C7" s="64" t="s">
        <v>23</v>
      </c>
      <c r="D7" s="64" t="s">
        <v>24</v>
      </c>
      <c r="E7" s="64" t="s">
        <v>25</v>
      </c>
      <c r="F7" s="64" t="s">
        <v>26</v>
      </c>
      <c r="G7" s="64" t="s">
        <v>27</v>
      </c>
      <c r="H7" s="64" t="s">
        <v>28</v>
      </c>
      <c r="I7" s="64" t="s">
        <v>29</v>
      </c>
      <c r="J7" s="64" t="s">
        <v>30</v>
      </c>
      <c r="K7" s="64" t="s">
        <v>31</v>
      </c>
      <c r="L7" s="64" t="s">
        <v>32</v>
      </c>
      <c r="M7" s="64" t="s">
        <v>33</v>
      </c>
      <c r="N7" s="64" t="s">
        <v>34</v>
      </c>
      <c r="O7" s="64" t="s">
        <v>35</v>
      </c>
      <c r="P7" s="64" t="s">
        <v>36</v>
      </c>
    </row>
    <row r="8" spans="1:16" s="262" customFormat="1" ht="25.5" customHeight="1">
      <c r="A8" s="280"/>
      <c r="B8" s="281" t="s">
        <v>37</v>
      </c>
      <c r="C8" s="282">
        <f aca="true" t="shared" si="0" ref="C8:O8">C9+C11</f>
        <v>508950</v>
      </c>
      <c r="D8" s="282">
        <f t="shared" si="0"/>
        <v>637651</v>
      </c>
      <c r="E8" s="283">
        <f t="shared" si="0"/>
        <v>27121</v>
      </c>
      <c r="F8" s="283">
        <f t="shared" si="0"/>
        <v>1500</v>
      </c>
      <c r="G8" s="283">
        <f t="shared" si="0"/>
        <v>28621</v>
      </c>
      <c r="H8" s="283">
        <f t="shared" si="0"/>
        <v>5531</v>
      </c>
      <c r="I8" s="283">
        <f t="shared" si="0"/>
        <v>17430</v>
      </c>
      <c r="J8" s="283">
        <f t="shared" si="0"/>
        <v>3333</v>
      </c>
      <c r="K8" s="283">
        <f t="shared" si="0"/>
        <v>14686</v>
      </c>
      <c r="L8" s="283">
        <f t="shared" si="0"/>
        <v>4942</v>
      </c>
      <c r="M8" s="283">
        <f aca="true" t="shared" si="1" ref="M8:P8">M9+M11</f>
        <v>-10298</v>
      </c>
      <c r="N8" s="283">
        <f t="shared" si="1"/>
        <v>13381</v>
      </c>
      <c r="O8" s="283">
        <f t="shared" si="1"/>
        <v>260</v>
      </c>
      <c r="P8" s="283">
        <f>N8-O8</f>
        <v>13121</v>
      </c>
    </row>
    <row r="9" spans="1:16" s="262" customFormat="1" ht="25.5" customHeight="1">
      <c r="A9" s="284"/>
      <c r="B9" s="281" t="s">
        <v>38</v>
      </c>
      <c r="C9" s="281">
        <f aca="true" t="shared" si="2" ref="C9:I9">SUM(C10:C10)</f>
        <v>0</v>
      </c>
      <c r="D9" s="281">
        <f t="shared" si="2"/>
        <v>0</v>
      </c>
      <c r="E9" s="283">
        <f t="shared" si="2"/>
        <v>0</v>
      </c>
      <c r="F9" s="283">
        <f t="shared" si="2"/>
        <v>510</v>
      </c>
      <c r="G9" s="283">
        <f t="shared" si="2"/>
        <v>510</v>
      </c>
      <c r="H9" s="283">
        <f t="shared" si="2"/>
        <v>0</v>
      </c>
      <c r="I9" s="283">
        <f t="shared" si="2"/>
        <v>0</v>
      </c>
      <c r="J9" s="283">
        <f aca="true" t="shared" si="3" ref="J9:P9">SUM(J10:J10)</f>
        <v>0</v>
      </c>
      <c r="K9" s="283">
        <f t="shared" si="3"/>
        <v>0</v>
      </c>
      <c r="L9" s="283">
        <f t="shared" si="3"/>
        <v>0</v>
      </c>
      <c r="M9" s="283">
        <f t="shared" si="3"/>
        <v>0</v>
      </c>
      <c r="N9" s="283">
        <f t="shared" si="3"/>
        <v>510</v>
      </c>
      <c r="O9" s="283">
        <f t="shared" si="3"/>
        <v>0</v>
      </c>
      <c r="P9" s="283">
        <f t="shared" si="3"/>
        <v>510</v>
      </c>
    </row>
    <row r="10" spans="1:16" s="263" customFormat="1" ht="25.5" customHeight="1">
      <c r="A10" s="285">
        <v>174007</v>
      </c>
      <c r="B10" s="286" t="s">
        <v>39</v>
      </c>
      <c r="C10" s="286">
        <v>0</v>
      </c>
      <c r="D10" s="286">
        <v>0</v>
      </c>
      <c r="E10" s="287">
        <v>0</v>
      </c>
      <c r="F10" s="287">
        <v>510</v>
      </c>
      <c r="G10" s="287">
        <f>F10+E10</f>
        <v>510</v>
      </c>
      <c r="H10" s="287">
        <v>0</v>
      </c>
      <c r="I10" s="287">
        <v>0</v>
      </c>
      <c r="J10" s="287">
        <v>0</v>
      </c>
      <c r="K10" s="287">
        <v>0</v>
      </c>
      <c r="L10" s="287">
        <v>0</v>
      </c>
      <c r="M10" s="287">
        <v>0</v>
      </c>
      <c r="N10" s="287">
        <f>G10-L10+M10</f>
        <v>510</v>
      </c>
      <c r="O10" s="297"/>
      <c r="P10" s="287">
        <f>N10-O10</f>
        <v>510</v>
      </c>
    </row>
    <row r="11" spans="1:241" s="264" customFormat="1" ht="25.5" customHeight="1">
      <c r="A11" s="288"/>
      <c r="B11" s="281" t="s">
        <v>40</v>
      </c>
      <c r="C11" s="281">
        <f aca="true" t="shared" si="4" ref="C11:O11">SUM(C12:C131)/2</f>
        <v>508950</v>
      </c>
      <c r="D11" s="281">
        <f t="shared" si="4"/>
        <v>637651</v>
      </c>
      <c r="E11" s="289">
        <f t="shared" si="4"/>
        <v>27121</v>
      </c>
      <c r="F11" s="289">
        <f t="shared" si="4"/>
        <v>990</v>
      </c>
      <c r="G11" s="289">
        <f t="shared" si="4"/>
        <v>28111</v>
      </c>
      <c r="H11" s="289">
        <f t="shared" si="4"/>
        <v>5531</v>
      </c>
      <c r="I11" s="289">
        <f t="shared" si="4"/>
        <v>17430</v>
      </c>
      <c r="J11" s="289">
        <f t="shared" si="4"/>
        <v>3333</v>
      </c>
      <c r="K11" s="289">
        <f t="shared" si="4"/>
        <v>14686</v>
      </c>
      <c r="L11" s="289">
        <f t="shared" si="4"/>
        <v>4942</v>
      </c>
      <c r="M11" s="289">
        <f aca="true" t="shared" si="5" ref="M11:P11">SUM(M12:M131)/2</f>
        <v>-10298</v>
      </c>
      <c r="N11" s="289">
        <f t="shared" si="5"/>
        <v>12871</v>
      </c>
      <c r="O11" s="289">
        <f t="shared" si="5"/>
        <v>260</v>
      </c>
      <c r="P11" s="289">
        <f t="shared" si="5"/>
        <v>12611</v>
      </c>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2"/>
      <c r="DL11" s="262"/>
      <c r="DM11" s="262"/>
      <c r="DN11" s="262"/>
      <c r="DO11" s="262"/>
      <c r="DP11" s="262"/>
      <c r="DQ11" s="262"/>
      <c r="DR11" s="262"/>
      <c r="DS11" s="262"/>
      <c r="DT11" s="262"/>
      <c r="DU11" s="262"/>
      <c r="DV11" s="262"/>
      <c r="DW11" s="262"/>
      <c r="DX11" s="262"/>
      <c r="DY11" s="262"/>
      <c r="DZ11" s="262"/>
      <c r="EA11" s="262"/>
      <c r="EB11" s="262"/>
      <c r="EC11" s="262"/>
      <c r="ED11" s="262"/>
      <c r="EE11" s="262"/>
      <c r="EF11" s="262"/>
      <c r="EG11" s="262"/>
      <c r="EH11" s="262"/>
      <c r="EI11" s="262"/>
      <c r="EJ11" s="262"/>
      <c r="EK11" s="262"/>
      <c r="EL11" s="262"/>
      <c r="EM11" s="262"/>
      <c r="EN11" s="262"/>
      <c r="EO11" s="262"/>
      <c r="EP11" s="262"/>
      <c r="EQ11" s="262"/>
      <c r="ER11" s="262"/>
      <c r="ES11" s="262"/>
      <c r="ET11" s="262"/>
      <c r="EU11" s="262"/>
      <c r="EV11" s="262"/>
      <c r="EW11" s="262"/>
      <c r="EX11" s="262"/>
      <c r="EY11" s="262"/>
      <c r="EZ11" s="262"/>
      <c r="FA11" s="262"/>
      <c r="FB11" s="262"/>
      <c r="FC11" s="262"/>
      <c r="FD11" s="262"/>
      <c r="FE11" s="262"/>
      <c r="FF11" s="262"/>
      <c r="FG11" s="262"/>
      <c r="FH11" s="262"/>
      <c r="FI11" s="262"/>
      <c r="FJ11" s="262"/>
      <c r="FK11" s="262"/>
      <c r="FL11" s="262"/>
      <c r="FM11" s="262"/>
      <c r="FN11" s="262"/>
      <c r="FO11" s="262"/>
      <c r="FP11" s="262"/>
      <c r="FQ11" s="262"/>
      <c r="FR11" s="262"/>
      <c r="FS11" s="262"/>
      <c r="FT11" s="262"/>
      <c r="FU11" s="262"/>
      <c r="FV11" s="262"/>
      <c r="FW11" s="262"/>
      <c r="FX11" s="262"/>
      <c r="FY11" s="262"/>
      <c r="FZ11" s="262"/>
      <c r="GA11" s="262"/>
      <c r="GB11" s="262"/>
      <c r="GC11" s="262"/>
      <c r="GD11" s="262"/>
      <c r="GE11" s="262"/>
      <c r="GF11" s="262"/>
      <c r="GG11" s="262"/>
      <c r="GH11" s="262"/>
      <c r="GI11" s="262"/>
      <c r="GJ11" s="262"/>
      <c r="GK11" s="262"/>
      <c r="GL11" s="262"/>
      <c r="GM11" s="262"/>
      <c r="GN11" s="262"/>
      <c r="GO11" s="262"/>
      <c r="GP11" s="262"/>
      <c r="GQ11" s="262"/>
      <c r="GR11" s="262"/>
      <c r="GS11" s="262"/>
      <c r="GT11" s="262"/>
      <c r="GU11" s="262"/>
      <c r="GV11" s="262"/>
      <c r="GW11" s="262"/>
      <c r="GX11" s="262"/>
      <c r="GY11" s="262"/>
      <c r="GZ11" s="262"/>
      <c r="HA11" s="262"/>
      <c r="HB11" s="262"/>
      <c r="HC11" s="262"/>
      <c r="HD11" s="262"/>
      <c r="HE11" s="262"/>
      <c r="HF11" s="262"/>
      <c r="HG11" s="262"/>
      <c r="HH11" s="262"/>
      <c r="HI11" s="262"/>
      <c r="HJ11" s="262"/>
      <c r="HK11" s="262"/>
      <c r="HL11" s="262"/>
      <c r="HM11" s="262"/>
      <c r="HN11" s="262"/>
      <c r="HO11" s="262"/>
      <c r="HP11" s="262"/>
      <c r="HQ11" s="262"/>
      <c r="HR11" s="262"/>
      <c r="HS11" s="262"/>
      <c r="HT11" s="262"/>
      <c r="HU11" s="262"/>
      <c r="HV11" s="262"/>
      <c r="HW11" s="262"/>
      <c r="HX11" s="262"/>
      <c r="HY11" s="262"/>
      <c r="HZ11" s="262"/>
      <c r="IA11" s="262"/>
      <c r="IB11" s="262"/>
      <c r="IC11" s="262"/>
      <c r="ID11" s="262"/>
      <c r="IE11" s="262"/>
      <c r="IF11" s="262"/>
      <c r="IG11" s="262"/>
    </row>
    <row r="12" spans="1:16" s="262" customFormat="1" ht="25.5" customHeight="1">
      <c r="A12" s="290">
        <v>604</v>
      </c>
      <c r="B12" s="281" t="s">
        <v>41</v>
      </c>
      <c r="C12" s="281">
        <f>SUM(C13:C20)</f>
        <v>30109</v>
      </c>
      <c r="D12" s="281">
        <f>SUM(D13:D20)</f>
        <v>40907</v>
      </c>
      <c r="E12" s="283">
        <f>SUM(E13:E20)</f>
        <v>1645</v>
      </c>
      <c r="F12" s="283">
        <f aca="true" t="shared" si="6" ref="F12:O12">SUM(F13:F20)</f>
        <v>75</v>
      </c>
      <c r="G12" s="283">
        <f t="shared" si="6"/>
        <v>1720</v>
      </c>
      <c r="H12" s="283">
        <f t="shared" si="6"/>
        <v>452</v>
      </c>
      <c r="I12" s="283">
        <f t="shared" si="6"/>
        <v>1039</v>
      </c>
      <c r="J12" s="283">
        <f t="shared" si="6"/>
        <v>68</v>
      </c>
      <c r="K12" s="283">
        <f t="shared" si="6"/>
        <v>858</v>
      </c>
      <c r="L12" s="283">
        <f t="shared" si="6"/>
        <v>565</v>
      </c>
      <c r="M12" s="283">
        <f aca="true" t="shared" si="7" ref="M12:P12">SUM(M13:M20)</f>
        <v>-1743</v>
      </c>
      <c r="N12" s="283">
        <f t="shared" si="7"/>
        <v>-588</v>
      </c>
      <c r="O12" s="283">
        <f t="shared" si="7"/>
        <v>0</v>
      </c>
      <c r="P12" s="283">
        <f t="shared" si="7"/>
        <v>-588</v>
      </c>
    </row>
    <row r="13" spans="1:16" s="260" customFormat="1" ht="25.5" customHeight="1">
      <c r="A13" s="291">
        <v>604001</v>
      </c>
      <c r="B13" s="286" t="s">
        <v>42</v>
      </c>
      <c r="C13" s="286"/>
      <c r="D13" s="286"/>
      <c r="E13" s="287">
        <f aca="true" t="shared" si="8" ref="E13:E20">ROUND((D13*130+C13*370)/10000,0)</f>
        <v>0</v>
      </c>
      <c r="F13" s="287">
        <f>12</f>
        <v>12</v>
      </c>
      <c r="G13" s="287">
        <f aca="true" t="shared" si="9" ref="G13:G20">F13+E13</f>
        <v>12</v>
      </c>
      <c r="H13" s="287">
        <v>0</v>
      </c>
      <c r="I13" s="287">
        <v>0</v>
      </c>
      <c r="J13" s="287">
        <v>34</v>
      </c>
      <c r="K13" s="287">
        <v>0</v>
      </c>
      <c r="L13" s="287">
        <f>H13+I13-J13-K13</f>
        <v>-34</v>
      </c>
      <c r="M13" s="287">
        <v>-240</v>
      </c>
      <c r="N13" s="287">
        <f aca="true" t="shared" si="10" ref="N13:N20">G13-L13+M13</f>
        <v>-194</v>
      </c>
      <c r="O13" s="30"/>
      <c r="P13" s="287">
        <f aca="true" t="shared" si="11" ref="P13:P20">N13-O13</f>
        <v>-194</v>
      </c>
    </row>
    <row r="14" spans="1:16" s="260" customFormat="1" ht="25.5" customHeight="1">
      <c r="A14" s="291">
        <v>604002</v>
      </c>
      <c r="B14" s="286" t="s">
        <v>43</v>
      </c>
      <c r="C14" s="286">
        <f>'目标人群测算表1'!L36</f>
        <v>2800</v>
      </c>
      <c r="D14" s="286">
        <f>'目标人群测算表1'!I36</f>
        <v>3500</v>
      </c>
      <c r="E14" s="287">
        <v>148</v>
      </c>
      <c r="F14" s="287">
        <f>9</f>
        <v>9</v>
      </c>
      <c r="G14" s="287">
        <f t="shared" si="9"/>
        <v>157</v>
      </c>
      <c r="H14" s="287">
        <v>60</v>
      </c>
      <c r="I14" s="287">
        <v>96</v>
      </c>
      <c r="J14" s="287">
        <v>13</v>
      </c>
      <c r="K14" s="287">
        <v>108</v>
      </c>
      <c r="L14" s="287">
        <f aca="true" t="shared" si="12" ref="L13:L44">H14+I14-J14-K14</f>
        <v>35</v>
      </c>
      <c r="M14" s="287">
        <v>-189</v>
      </c>
      <c r="N14" s="287">
        <f t="shared" si="10"/>
        <v>-67</v>
      </c>
      <c r="O14" s="30"/>
      <c r="P14" s="287">
        <f t="shared" si="11"/>
        <v>-67</v>
      </c>
    </row>
    <row r="15" spans="1:16" s="260" customFormat="1" ht="25.5" customHeight="1">
      <c r="A15" s="291">
        <v>604003</v>
      </c>
      <c r="B15" s="286" t="s">
        <v>44</v>
      </c>
      <c r="C15" s="286">
        <f>'目标人群测算表1'!L37</f>
        <v>4880</v>
      </c>
      <c r="D15" s="286">
        <f>'目标人群测算表1'!I37</f>
        <v>6100</v>
      </c>
      <c r="E15" s="287">
        <f t="shared" si="8"/>
        <v>260</v>
      </c>
      <c r="F15" s="287">
        <f aca="true" t="shared" si="13" ref="F15:F24">9</f>
        <v>9</v>
      </c>
      <c r="G15" s="287">
        <f t="shared" si="9"/>
        <v>269</v>
      </c>
      <c r="H15" s="287">
        <v>53</v>
      </c>
      <c r="I15" s="287">
        <v>138</v>
      </c>
      <c r="J15" s="287">
        <v>8</v>
      </c>
      <c r="K15" s="287">
        <v>165</v>
      </c>
      <c r="L15" s="287">
        <f t="shared" si="12"/>
        <v>18</v>
      </c>
      <c r="M15" s="287">
        <v>0</v>
      </c>
      <c r="N15" s="287">
        <f t="shared" si="10"/>
        <v>251</v>
      </c>
      <c r="O15" s="30"/>
      <c r="P15" s="287">
        <f t="shared" si="11"/>
        <v>251</v>
      </c>
    </row>
    <row r="16" spans="1:16" s="260" customFormat="1" ht="25.5" customHeight="1">
      <c r="A16" s="291">
        <v>604004</v>
      </c>
      <c r="B16" s="286" t="s">
        <v>45</v>
      </c>
      <c r="C16" s="286">
        <f>'目标人群测算表1'!L38</f>
        <v>3000</v>
      </c>
      <c r="D16" s="286">
        <f>'目标人群测算表1'!I38</f>
        <v>7396</v>
      </c>
      <c r="E16" s="287">
        <f t="shared" si="8"/>
        <v>207</v>
      </c>
      <c r="F16" s="287">
        <f t="shared" si="13"/>
        <v>9</v>
      </c>
      <c r="G16" s="287">
        <f t="shared" si="9"/>
        <v>216</v>
      </c>
      <c r="H16" s="287">
        <v>58</v>
      </c>
      <c r="I16" s="287">
        <v>103</v>
      </c>
      <c r="J16" s="287">
        <v>2</v>
      </c>
      <c r="K16" s="287">
        <v>110</v>
      </c>
      <c r="L16" s="287">
        <f t="shared" si="12"/>
        <v>49</v>
      </c>
      <c r="M16" s="287">
        <v>-229</v>
      </c>
      <c r="N16" s="287">
        <f t="shared" si="10"/>
        <v>-62</v>
      </c>
      <c r="O16" s="30"/>
      <c r="P16" s="287">
        <f t="shared" si="11"/>
        <v>-62</v>
      </c>
    </row>
    <row r="17" spans="1:16" s="260" customFormat="1" ht="25.5" customHeight="1">
      <c r="A17" s="291">
        <v>604005</v>
      </c>
      <c r="B17" s="286" t="s">
        <v>46</v>
      </c>
      <c r="C17" s="286">
        <f>'目标人群测算表1'!L39</f>
        <v>1500</v>
      </c>
      <c r="D17" s="286">
        <f>'目标人群测算表1'!I39</f>
        <v>1500</v>
      </c>
      <c r="E17" s="287">
        <f t="shared" si="8"/>
        <v>75</v>
      </c>
      <c r="F17" s="287">
        <f t="shared" si="13"/>
        <v>9</v>
      </c>
      <c r="G17" s="287">
        <f t="shared" si="9"/>
        <v>84</v>
      </c>
      <c r="H17" s="287">
        <v>22</v>
      </c>
      <c r="I17" s="287">
        <v>45</v>
      </c>
      <c r="J17" s="287">
        <v>0</v>
      </c>
      <c r="K17" s="287">
        <v>62</v>
      </c>
      <c r="L17" s="287">
        <f t="shared" si="12"/>
        <v>5</v>
      </c>
      <c r="M17" s="287">
        <v>-46</v>
      </c>
      <c r="N17" s="287">
        <f t="shared" si="10"/>
        <v>33</v>
      </c>
      <c r="O17" s="30"/>
      <c r="P17" s="287">
        <f t="shared" si="11"/>
        <v>33</v>
      </c>
    </row>
    <row r="18" spans="1:16" s="260" customFormat="1" ht="25.5" customHeight="1">
      <c r="A18" s="291">
        <v>604006</v>
      </c>
      <c r="B18" s="286" t="s">
        <v>47</v>
      </c>
      <c r="C18" s="286">
        <f>'目标人群测算表1'!L40</f>
        <v>9194</v>
      </c>
      <c r="D18" s="286">
        <f>'目标人群测算表1'!I40</f>
        <v>11492</v>
      </c>
      <c r="E18" s="287">
        <f t="shared" si="8"/>
        <v>490</v>
      </c>
      <c r="F18" s="287">
        <f t="shared" si="13"/>
        <v>9</v>
      </c>
      <c r="G18" s="287">
        <f t="shared" si="9"/>
        <v>499</v>
      </c>
      <c r="H18" s="287">
        <v>124</v>
      </c>
      <c r="I18" s="287">
        <v>275</v>
      </c>
      <c r="J18" s="287">
        <v>4</v>
      </c>
      <c r="K18" s="287">
        <v>236</v>
      </c>
      <c r="L18" s="287">
        <f t="shared" si="12"/>
        <v>159</v>
      </c>
      <c r="M18" s="287">
        <v>-637</v>
      </c>
      <c r="N18" s="287">
        <f t="shared" si="10"/>
        <v>-297</v>
      </c>
      <c r="O18" s="30"/>
      <c r="P18" s="287">
        <f t="shared" si="11"/>
        <v>-297</v>
      </c>
    </row>
    <row r="19" spans="1:16" s="260" customFormat="1" ht="25.5" customHeight="1">
      <c r="A19" s="291">
        <v>604007</v>
      </c>
      <c r="B19" s="286" t="s">
        <v>48</v>
      </c>
      <c r="C19" s="286">
        <f>'目标人群测算表1'!L41</f>
        <v>8241</v>
      </c>
      <c r="D19" s="286">
        <f>'目标人群测算表1'!I41</f>
        <v>10301</v>
      </c>
      <c r="E19" s="287">
        <f t="shared" si="8"/>
        <v>439</v>
      </c>
      <c r="F19" s="287">
        <f t="shared" si="13"/>
        <v>9</v>
      </c>
      <c r="G19" s="287">
        <f t="shared" si="9"/>
        <v>448</v>
      </c>
      <c r="H19" s="287">
        <v>131</v>
      </c>
      <c r="I19" s="287">
        <v>372</v>
      </c>
      <c r="J19" s="287">
        <v>5</v>
      </c>
      <c r="K19" s="287">
        <v>169</v>
      </c>
      <c r="L19" s="287">
        <f t="shared" si="12"/>
        <v>329</v>
      </c>
      <c r="M19" s="287">
        <v>-396</v>
      </c>
      <c r="N19" s="287">
        <f t="shared" si="10"/>
        <v>-277</v>
      </c>
      <c r="O19" s="30"/>
      <c r="P19" s="287">
        <f t="shared" si="11"/>
        <v>-277</v>
      </c>
    </row>
    <row r="20" spans="1:16" s="260" customFormat="1" ht="25.5" customHeight="1">
      <c r="A20" s="291">
        <v>604008</v>
      </c>
      <c r="B20" s="286" t="s">
        <v>49</v>
      </c>
      <c r="C20" s="286">
        <f>'目标人群测算表1'!L42</f>
        <v>494</v>
      </c>
      <c r="D20" s="286">
        <f>'目标人群测算表1'!I42</f>
        <v>618</v>
      </c>
      <c r="E20" s="287">
        <f t="shared" si="8"/>
        <v>26</v>
      </c>
      <c r="F20" s="287">
        <f t="shared" si="13"/>
        <v>9</v>
      </c>
      <c r="G20" s="287">
        <f t="shared" si="9"/>
        <v>35</v>
      </c>
      <c r="H20" s="287">
        <v>4</v>
      </c>
      <c r="I20" s="287">
        <v>10</v>
      </c>
      <c r="J20" s="287">
        <v>2</v>
      </c>
      <c r="K20" s="287">
        <v>8</v>
      </c>
      <c r="L20" s="287">
        <f t="shared" si="12"/>
        <v>4</v>
      </c>
      <c r="M20" s="287">
        <v>-6</v>
      </c>
      <c r="N20" s="287">
        <f t="shared" si="10"/>
        <v>25</v>
      </c>
      <c r="O20" s="30"/>
      <c r="P20" s="287">
        <f t="shared" si="11"/>
        <v>25</v>
      </c>
    </row>
    <row r="21" spans="1:16" s="262" customFormat="1" ht="25.5" customHeight="1">
      <c r="A21" s="290">
        <v>606</v>
      </c>
      <c r="B21" s="281" t="s">
        <v>50</v>
      </c>
      <c r="C21" s="281">
        <f>SUM(C22:C32)</f>
        <v>19650</v>
      </c>
      <c r="D21" s="281">
        <f>SUM(D22:D32)</f>
        <v>24564</v>
      </c>
      <c r="E21" s="283">
        <f>SUM(E22:E32)</f>
        <v>1046</v>
      </c>
      <c r="F21" s="283">
        <f aca="true" t="shared" si="14" ref="F21:O21">SUM(F22:F32)</f>
        <v>102</v>
      </c>
      <c r="G21" s="283">
        <f t="shared" si="14"/>
        <v>1148</v>
      </c>
      <c r="H21" s="283">
        <f t="shared" si="14"/>
        <v>225</v>
      </c>
      <c r="I21" s="283">
        <f t="shared" si="14"/>
        <v>543</v>
      </c>
      <c r="J21" s="283">
        <f t="shared" si="14"/>
        <v>186</v>
      </c>
      <c r="K21" s="283">
        <f t="shared" si="14"/>
        <v>788</v>
      </c>
      <c r="L21" s="283">
        <f t="shared" si="14"/>
        <v>-206</v>
      </c>
      <c r="M21" s="283">
        <f aca="true" t="shared" si="15" ref="M21:P21">SUM(M22:M32)</f>
        <v>-161</v>
      </c>
      <c r="N21" s="283">
        <f t="shared" si="15"/>
        <v>1193</v>
      </c>
      <c r="O21" s="283">
        <f t="shared" si="15"/>
        <v>0</v>
      </c>
      <c r="P21" s="283">
        <f t="shared" si="15"/>
        <v>1193</v>
      </c>
    </row>
    <row r="22" spans="1:16" s="260" customFormat="1" ht="25.5" customHeight="1">
      <c r="A22" s="291">
        <v>606001</v>
      </c>
      <c r="B22" s="286" t="s">
        <v>51</v>
      </c>
      <c r="C22" s="286"/>
      <c r="D22" s="286"/>
      <c r="E22" s="287">
        <f aca="true" t="shared" si="16" ref="E22:E28">ROUND((D22*130+C22*370)/10000,0)</f>
        <v>0</v>
      </c>
      <c r="F22" s="287">
        <v>12</v>
      </c>
      <c r="G22" s="287">
        <f aca="true" t="shared" si="17" ref="G22:G32">F22+E22</f>
        <v>12</v>
      </c>
      <c r="H22" s="287">
        <v>0</v>
      </c>
      <c r="I22" s="287">
        <v>0</v>
      </c>
      <c r="J22" s="287">
        <v>0</v>
      </c>
      <c r="K22" s="287">
        <v>0</v>
      </c>
      <c r="L22" s="287">
        <f t="shared" si="12"/>
        <v>0</v>
      </c>
      <c r="M22" s="287">
        <v>-37</v>
      </c>
      <c r="N22" s="287">
        <f aca="true" t="shared" si="18" ref="N22:N32">G22-L22+M22</f>
        <v>-25</v>
      </c>
      <c r="O22" s="30"/>
      <c r="P22" s="287">
        <f aca="true" t="shared" si="19" ref="P22:P32">N22-O22</f>
        <v>-25</v>
      </c>
    </row>
    <row r="23" spans="1:16" s="260" customFormat="1" ht="25.5" customHeight="1">
      <c r="A23" s="291">
        <v>606002</v>
      </c>
      <c r="B23" s="286" t="s">
        <v>52</v>
      </c>
      <c r="C23" s="286">
        <f>'目标人群测算表1'!L45</f>
        <v>2099</v>
      </c>
      <c r="D23" s="286">
        <f>'目标人群测算表1'!I45</f>
        <v>2624</v>
      </c>
      <c r="E23" s="287">
        <v>111</v>
      </c>
      <c r="F23" s="287">
        <f t="shared" si="13"/>
        <v>9</v>
      </c>
      <c r="G23" s="287">
        <f t="shared" si="17"/>
        <v>120</v>
      </c>
      <c r="H23" s="287">
        <v>31</v>
      </c>
      <c r="I23" s="287">
        <v>55</v>
      </c>
      <c r="J23" s="287">
        <v>4</v>
      </c>
      <c r="K23" s="287">
        <v>90</v>
      </c>
      <c r="L23" s="287">
        <f t="shared" si="12"/>
        <v>-8</v>
      </c>
      <c r="M23" s="287">
        <v>-16</v>
      </c>
      <c r="N23" s="287">
        <f t="shared" si="18"/>
        <v>112</v>
      </c>
      <c r="O23" s="30"/>
      <c r="P23" s="287">
        <f t="shared" si="19"/>
        <v>112</v>
      </c>
    </row>
    <row r="24" spans="1:16" s="260" customFormat="1" ht="25.5" customHeight="1">
      <c r="A24" s="291">
        <v>606003</v>
      </c>
      <c r="B24" s="286" t="s">
        <v>53</v>
      </c>
      <c r="C24" s="286">
        <f>'目标人群测算表1'!L46</f>
        <v>1996</v>
      </c>
      <c r="D24" s="286">
        <f>'目标人群测算表1'!I46</f>
        <v>2495</v>
      </c>
      <c r="E24" s="287">
        <f t="shared" si="16"/>
        <v>106</v>
      </c>
      <c r="F24" s="287">
        <f t="shared" si="13"/>
        <v>9</v>
      </c>
      <c r="G24" s="287">
        <f t="shared" si="17"/>
        <v>115</v>
      </c>
      <c r="H24" s="287">
        <v>29</v>
      </c>
      <c r="I24" s="287">
        <v>59</v>
      </c>
      <c r="J24" s="287">
        <v>31</v>
      </c>
      <c r="K24" s="287">
        <v>191</v>
      </c>
      <c r="L24" s="287">
        <f t="shared" si="12"/>
        <v>-134</v>
      </c>
      <c r="M24" s="287">
        <v>0</v>
      </c>
      <c r="N24" s="287">
        <f t="shared" si="18"/>
        <v>249</v>
      </c>
      <c r="O24" s="30"/>
      <c r="P24" s="287">
        <f t="shared" si="19"/>
        <v>249</v>
      </c>
    </row>
    <row r="25" spans="1:16" s="260" customFormat="1" ht="25.5" customHeight="1">
      <c r="A25" s="291">
        <v>606004</v>
      </c>
      <c r="B25" s="286" t="s">
        <v>54</v>
      </c>
      <c r="C25" s="286">
        <f>'目标人群测算表1'!L47</f>
        <v>2060</v>
      </c>
      <c r="D25" s="286">
        <f>'目标人群测算表1'!I47</f>
        <v>2575</v>
      </c>
      <c r="E25" s="287">
        <f t="shared" si="16"/>
        <v>110</v>
      </c>
      <c r="F25" s="287">
        <f aca="true" t="shared" si="20" ref="F25:F34">9</f>
        <v>9</v>
      </c>
      <c r="G25" s="287">
        <f t="shared" si="17"/>
        <v>119</v>
      </c>
      <c r="H25" s="287">
        <v>17</v>
      </c>
      <c r="I25" s="287">
        <v>41</v>
      </c>
      <c r="J25" s="287">
        <v>15</v>
      </c>
      <c r="K25" s="287">
        <v>62</v>
      </c>
      <c r="L25" s="287">
        <f t="shared" si="12"/>
        <v>-19</v>
      </c>
      <c r="M25" s="287">
        <v>0</v>
      </c>
      <c r="N25" s="287">
        <f t="shared" si="18"/>
        <v>138</v>
      </c>
      <c r="O25" s="30"/>
      <c r="P25" s="287">
        <f t="shared" si="19"/>
        <v>138</v>
      </c>
    </row>
    <row r="26" spans="1:16" s="260" customFormat="1" ht="25.5" customHeight="1">
      <c r="A26" s="292">
        <v>606005</v>
      </c>
      <c r="B26" s="286" t="s">
        <v>55</v>
      </c>
      <c r="C26" s="286">
        <f>'目标人群测算表1'!L48</f>
        <v>2604</v>
      </c>
      <c r="D26" s="286">
        <f>'目标人群测算表1'!I48</f>
        <v>3255</v>
      </c>
      <c r="E26" s="287">
        <f t="shared" si="16"/>
        <v>139</v>
      </c>
      <c r="F26" s="287">
        <f t="shared" si="20"/>
        <v>9</v>
      </c>
      <c r="G26" s="287">
        <f t="shared" si="17"/>
        <v>148</v>
      </c>
      <c r="H26" s="287">
        <v>29</v>
      </c>
      <c r="I26" s="287">
        <v>65</v>
      </c>
      <c r="J26" s="287">
        <v>6</v>
      </c>
      <c r="K26" s="287">
        <v>86</v>
      </c>
      <c r="L26" s="287">
        <f t="shared" si="12"/>
        <v>2</v>
      </c>
      <c r="M26" s="287">
        <v>0</v>
      </c>
      <c r="N26" s="287">
        <f t="shared" si="18"/>
        <v>146</v>
      </c>
      <c r="O26" s="30"/>
      <c r="P26" s="287">
        <f t="shared" si="19"/>
        <v>146</v>
      </c>
    </row>
    <row r="27" spans="1:16" s="260" customFormat="1" ht="25.5" customHeight="1">
      <c r="A27" s="291">
        <v>606006</v>
      </c>
      <c r="B27" s="286" t="s">
        <v>56</v>
      </c>
      <c r="C27" s="286">
        <f>'目标人群测算表1'!L49</f>
        <v>2634</v>
      </c>
      <c r="D27" s="286">
        <f>'目标人群测算表1'!I49</f>
        <v>3293</v>
      </c>
      <c r="E27" s="287">
        <f t="shared" si="16"/>
        <v>140</v>
      </c>
      <c r="F27" s="287">
        <f t="shared" si="20"/>
        <v>9</v>
      </c>
      <c r="G27" s="287">
        <f t="shared" si="17"/>
        <v>149</v>
      </c>
      <c r="H27" s="287">
        <v>26</v>
      </c>
      <c r="I27" s="287">
        <v>62</v>
      </c>
      <c r="J27" s="287">
        <v>67</v>
      </c>
      <c r="K27" s="287">
        <v>80</v>
      </c>
      <c r="L27" s="287">
        <f t="shared" si="12"/>
        <v>-59</v>
      </c>
      <c r="M27" s="287">
        <v>0</v>
      </c>
      <c r="N27" s="287">
        <f t="shared" si="18"/>
        <v>208</v>
      </c>
      <c r="O27" s="30"/>
      <c r="P27" s="287">
        <f t="shared" si="19"/>
        <v>208</v>
      </c>
    </row>
    <row r="28" spans="1:16" s="260" customFormat="1" ht="25.5" customHeight="1">
      <c r="A28" s="291">
        <v>606007</v>
      </c>
      <c r="B28" s="286" t="s">
        <v>57</v>
      </c>
      <c r="C28" s="286">
        <f>'目标人群测算表1'!L50</f>
        <v>986</v>
      </c>
      <c r="D28" s="286">
        <f>'目标人群测算表1'!I50</f>
        <v>1233</v>
      </c>
      <c r="E28" s="287">
        <f t="shared" si="16"/>
        <v>53</v>
      </c>
      <c r="F28" s="287">
        <f t="shared" si="20"/>
        <v>9</v>
      </c>
      <c r="G28" s="287">
        <f t="shared" si="17"/>
        <v>62</v>
      </c>
      <c r="H28" s="287">
        <v>13</v>
      </c>
      <c r="I28" s="287">
        <v>34</v>
      </c>
      <c r="J28" s="287">
        <v>9</v>
      </c>
      <c r="K28" s="287">
        <v>42</v>
      </c>
      <c r="L28" s="287">
        <f t="shared" si="12"/>
        <v>-4</v>
      </c>
      <c r="M28" s="287">
        <v>0</v>
      </c>
      <c r="N28" s="287">
        <f t="shared" si="18"/>
        <v>66</v>
      </c>
      <c r="O28" s="30"/>
      <c r="P28" s="287">
        <f t="shared" si="19"/>
        <v>66</v>
      </c>
    </row>
    <row r="29" spans="1:16" s="260" customFormat="1" ht="25.5" customHeight="1">
      <c r="A29" s="291">
        <v>606008</v>
      </c>
      <c r="B29" s="286" t="s">
        <v>58</v>
      </c>
      <c r="C29" s="286">
        <f>'目标人群测算表1'!L51</f>
        <v>1335</v>
      </c>
      <c r="D29" s="286">
        <f>'目标人群测算表1'!I51</f>
        <v>1669</v>
      </c>
      <c r="E29" s="287">
        <f aca="true" t="shared" si="21" ref="E29:E60">ROUND((D29*130+C29*370)/10000,0)</f>
        <v>71</v>
      </c>
      <c r="F29" s="287">
        <f t="shared" si="20"/>
        <v>9</v>
      </c>
      <c r="G29" s="287">
        <f t="shared" si="17"/>
        <v>80</v>
      </c>
      <c r="H29" s="287">
        <v>18</v>
      </c>
      <c r="I29" s="287">
        <v>52</v>
      </c>
      <c r="J29" s="287">
        <v>15</v>
      </c>
      <c r="K29" s="287">
        <v>59</v>
      </c>
      <c r="L29" s="287">
        <f t="shared" si="12"/>
        <v>-4</v>
      </c>
      <c r="M29" s="287">
        <v>0</v>
      </c>
      <c r="N29" s="287">
        <f t="shared" si="18"/>
        <v>84</v>
      </c>
      <c r="O29" s="30"/>
      <c r="P29" s="287">
        <f t="shared" si="19"/>
        <v>84</v>
      </c>
    </row>
    <row r="30" spans="1:16" s="260" customFormat="1" ht="25.5" customHeight="1">
      <c r="A30" s="291">
        <v>606009</v>
      </c>
      <c r="B30" s="286" t="s">
        <v>59</v>
      </c>
      <c r="C30" s="286">
        <f>'目标人群测算表1'!L52</f>
        <v>3006</v>
      </c>
      <c r="D30" s="286">
        <f>'目标人群测算表1'!I52</f>
        <v>3757</v>
      </c>
      <c r="E30" s="287">
        <f t="shared" si="21"/>
        <v>160</v>
      </c>
      <c r="F30" s="287">
        <f t="shared" si="20"/>
        <v>9</v>
      </c>
      <c r="G30" s="287">
        <f t="shared" si="17"/>
        <v>169</v>
      </c>
      <c r="H30" s="287">
        <v>31</v>
      </c>
      <c r="I30" s="287">
        <v>96</v>
      </c>
      <c r="J30" s="287">
        <v>12</v>
      </c>
      <c r="K30" s="287">
        <v>86</v>
      </c>
      <c r="L30" s="287">
        <f t="shared" si="12"/>
        <v>29</v>
      </c>
      <c r="M30" s="287">
        <v>0</v>
      </c>
      <c r="N30" s="287">
        <f t="shared" si="18"/>
        <v>140</v>
      </c>
      <c r="O30" s="30"/>
      <c r="P30" s="287">
        <f t="shared" si="19"/>
        <v>140</v>
      </c>
    </row>
    <row r="31" spans="1:16" s="260" customFormat="1" ht="25.5" customHeight="1">
      <c r="A31" s="291">
        <v>606010</v>
      </c>
      <c r="B31" s="286" t="s">
        <v>60</v>
      </c>
      <c r="C31" s="286">
        <f>'目标人群测算表1'!L53</f>
        <v>1520</v>
      </c>
      <c r="D31" s="286">
        <f>'目标人群测算表1'!I53</f>
        <v>1900</v>
      </c>
      <c r="E31" s="287">
        <f t="shared" si="21"/>
        <v>81</v>
      </c>
      <c r="F31" s="287">
        <f t="shared" si="20"/>
        <v>9</v>
      </c>
      <c r="G31" s="287">
        <f t="shared" si="17"/>
        <v>90</v>
      </c>
      <c r="H31" s="287">
        <v>13</v>
      </c>
      <c r="I31" s="287">
        <v>34</v>
      </c>
      <c r="J31" s="287">
        <v>16</v>
      </c>
      <c r="K31" s="287">
        <v>46</v>
      </c>
      <c r="L31" s="287">
        <f t="shared" si="12"/>
        <v>-15</v>
      </c>
      <c r="M31" s="287">
        <v>-108</v>
      </c>
      <c r="N31" s="287">
        <f t="shared" si="18"/>
        <v>-3</v>
      </c>
      <c r="O31" s="30"/>
      <c r="P31" s="287">
        <f t="shared" si="19"/>
        <v>-3</v>
      </c>
    </row>
    <row r="32" spans="1:16" s="260" customFormat="1" ht="25.5" customHeight="1">
      <c r="A32" s="291">
        <v>606011</v>
      </c>
      <c r="B32" s="286" t="s">
        <v>61</v>
      </c>
      <c r="C32" s="286">
        <f>'目标人群测算表1'!L54</f>
        <v>1410</v>
      </c>
      <c r="D32" s="286">
        <f>'目标人群测算表1'!I54</f>
        <v>1763</v>
      </c>
      <c r="E32" s="287">
        <f t="shared" si="21"/>
        <v>75</v>
      </c>
      <c r="F32" s="287">
        <f t="shared" si="20"/>
        <v>9</v>
      </c>
      <c r="G32" s="287">
        <f t="shared" si="17"/>
        <v>84</v>
      </c>
      <c r="H32" s="287">
        <v>18</v>
      </c>
      <c r="I32" s="287">
        <v>45</v>
      </c>
      <c r="J32" s="287">
        <v>11</v>
      </c>
      <c r="K32" s="287">
        <v>46</v>
      </c>
      <c r="L32" s="287">
        <f t="shared" si="12"/>
        <v>6</v>
      </c>
      <c r="M32" s="287">
        <v>0</v>
      </c>
      <c r="N32" s="287">
        <f t="shared" si="18"/>
        <v>78</v>
      </c>
      <c r="O32" s="30"/>
      <c r="P32" s="287">
        <f t="shared" si="19"/>
        <v>78</v>
      </c>
    </row>
    <row r="33" spans="1:16" s="262" customFormat="1" ht="25.5" customHeight="1">
      <c r="A33" s="290">
        <v>607</v>
      </c>
      <c r="B33" s="281" t="s">
        <v>62</v>
      </c>
      <c r="C33" s="281">
        <f>SUM(C34:C40)</f>
        <v>17984</v>
      </c>
      <c r="D33" s="281">
        <f>SUM(D34:D40)</f>
        <v>22481</v>
      </c>
      <c r="E33" s="283">
        <f>SUM(E34:E40)</f>
        <v>958</v>
      </c>
      <c r="F33" s="283">
        <f aca="true" t="shared" si="22" ref="F33:O33">SUM(F34:F40)</f>
        <v>66</v>
      </c>
      <c r="G33" s="283">
        <f t="shared" si="22"/>
        <v>1024</v>
      </c>
      <c r="H33" s="283">
        <f t="shared" si="22"/>
        <v>280</v>
      </c>
      <c r="I33" s="283">
        <f t="shared" si="22"/>
        <v>1029</v>
      </c>
      <c r="J33" s="283">
        <f t="shared" si="22"/>
        <v>59</v>
      </c>
      <c r="K33" s="283">
        <f t="shared" si="22"/>
        <v>655</v>
      </c>
      <c r="L33" s="283">
        <f t="shared" si="22"/>
        <v>595</v>
      </c>
      <c r="M33" s="283">
        <f aca="true" t="shared" si="23" ref="M33:P33">SUM(M34:M40)</f>
        <v>-1120</v>
      </c>
      <c r="N33" s="283">
        <f t="shared" si="23"/>
        <v>-691</v>
      </c>
      <c r="O33" s="283">
        <f t="shared" si="23"/>
        <v>0</v>
      </c>
      <c r="P33" s="283">
        <f t="shared" si="23"/>
        <v>-691</v>
      </c>
    </row>
    <row r="34" spans="1:16" s="260" customFormat="1" ht="25.5" customHeight="1">
      <c r="A34" s="291">
        <v>607001</v>
      </c>
      <c r="B34" s="286" t="s">
        <v>63</v>
      </c>
      <c r="C34" s="286">
        <f>'目标人群测算表1'!L56</f>
        <v>666</v>
      </c>
      <c r="D34" s="286">
        <f>'目标人群测算表1'!I56</f>
        <v>833</v>
      </c>
      <c r="E34" s="287">
        <f t="shared" si="21"/>
        <v>35</v>
      </c>
      <c r="F34" s="287">
        <v>12</v>
      </c>
      <c r="G34" s="287">
        <f aca="true" t="shared" si="24" ref="G34:G40">F34+E34</f>
        <v>47</v>
      </c>
      <c r="H34" s="287">
        <v>8</v>
      </c>
      <c r="I34" s="287">
        <v>7</v>
      </c>
      <c r="J34" s="287">
        <v>0</v>
      </c>
      <c r="K34" s="287">
        <v>5</v>
      </c>
      <c r="L34" s="287">
        <f t="shared" si="12"/>
        <v>10</v>
      </c>
      <c r="M34" s="287">
        <v>-74</v>
      </c>
      <c r="N34" s="287">
        <f aca="true" t="shared" si="25" ref="N34:N40">G34-L34+M34</f>
        <v>-37</v>
      </c>
      <c r="O34" s="30"/>
      <c r="P34" s="287">
        <f aca="true" t="shared" si="26" ref="P34:P40">N34-O34</f>
        <v>-37</v>
      </c>
    </row>
    <row r="35" spans="1:16" s="260" customFormat="1" ht="25.5" customHeight="1">
      <c r="A35" s="291">
        <v>607002</v>
      </c>
      <c r="B35" s="286" t="s">
        <v>64</v>
      </c>
      <c r="C35" s="286">
        <f>'目标人群测算表1'!L57</f>
        <v>6851</v>
      </c>
      <c r="D35" s="286">
        <f>'目标人群测算表1'!I57</f>
        <v>8564</v>
      </c>
      <c r="E35" s="287">
        <f t="shared" si="21"/>
        <v>365</v>
      </c>
      <c r="F35" s="287">
        <f aca="true" t="shared" si="27" ref="F35:F44">9</f>
        <v>9</v>
      </c>
      <c r="G35" s="287">
        <f t="shared" si="24"/>
        <v>374</v>
      </c>
      <c r="H35" s="287">
        <v>43</v>
      </c>
      <c r="I35" s="287">
        <v>344</v>
      </c>
      <c r="J35" s="287">
        <v>12</v>
      </c>
      <c r="K35" s="287">
        <v>154</v>
      </c>
      <c r="L35" s="287">
        <f t="shared" si="12"/>
        <v>221</v>
      </c>
      <c r="M35" s="287">
        <v>0</v>
      </c>
      <c r="N35" s="287">
        <f t="shared" si="25"/>
        <v>153</v>
      </c>
      <c r="O35" s="30"/>
      <c r="P35" s="287">
        <f t="shared" si="26"/>
        <v>153</v>
      </c>
    </row>
    <row r="36" spans="1:16" s="260" customFormat="1" ht="25.5" customHeight="1">
      <c r="A36" s="291">
        <v>607003</v>
      </c>
      <c r="B36" s="286" t="s">
        <v>65</v>
      </c>
      <c r="C36" s="286">
        <f>'目标人群测算表1'!L58</f>
        <v>877</v>
      </c>
      <c r="D36" s="286">
        <f>'目标人群测算表1'!I58</f>
        <v>1096</v>
      </c>
      <c r="E36" s="287">
        <f t="shared" si="21"/>
        <v>47</v>
      </c>
      <c r="F36" s="287">
        <f t="shared" si="27"/>
        <v>9</v>
      </c>
      <c r="G36" s="287">
        <f t="shared" si="24"/>
        <v>56</v>
      </c>
      <c r="H36" s="287">
        <v>33</v>
      </c>
      <c r="I36" s="287">
        <v>59</v>
      </c>
      <c r="J36" s="287">
        <v>2</v>
      </c>
      <c r="K36" s="287">
        <v>60</v>
      </c>
      <c r="L36" s="287">
        <f t="shared" si="12"/>
        <v>30</v>
      </c>
      <c r="M36" s="287">
        <v>-377</v>
      </c>
      <c r="N36" s="287">
        <f t="shared" si="25"/>
        <v>-351</v>
      </c>
      <c r="O36" s="30"/>
      <c r="P36" s="287">
        <f t="shared" si="26"/>
        <v>-351</v>
      </c>
    </row>
    <row r="37" spans="1:16" s="260" customFormat="1" ht="25.5" customHeight="1">
      <c r="A37" s="291">
        <v>607004</v>
      </c>
      <c r="B37" s="286" t="s">
        <v>66</v>
      </c>
      <c r="C37" s="286">
        <f>'目标人群测算表1'!L59</f>
        <v>1483</v>
      </c>
      <c r="D37" s="286">
        <f>'目标人群测算表1'!I59</f>
        <v>1854</v>
      </c>
      <c r="E37" s="287">
        <f t="shared" si="21"/>
        <v>79</v>
      </c>
      <c r="F37" s="287">
        <f t="shared" si="27"/>
        <v>9</v>
      </c>
      <c r="G37" s="287">
        <f t="shared" si="24"/>
        <v>88</v>
      </c>
      <c r="H37" s="287">
        <v>48</v>
      </c>
      <c r="I37" s="287">
        <v>96</v>
      </c>
      <c r="J37" s="287">
        <v>17</v>
      </c>
      <c r="K37" s="287">
        <v>93</v>
      </c>
      <c r="L37" s="287">
        <f t="shared" si="12"/>
        <v>34</v>
      </c>
      <c r="M37" s="287">
        <v>-180</v>
      </c>
      <c r="N37" s="287">
        <f t="shared" si="25"/>
        <v>-126</v>
      </c>
      <c r="O37" s="30"/>
      <c r="P37" s="287">
        <f t="shared" si="26"/>
        <v>-126</v>
      </c>
    </row>
    <row r="38" spans="1:16" s="260" customFormat="1" ht="25.5" customHeight="1">
      <c r="A38" s="291">
        <v>607005</v>
      </c>
      <c r="B38" s="286" t="s">
        <v>67</v>
      </c>
      <c r="C38" s="286">
        <f>'目标人群测算表1'!L60</f>
        <v>2989</v>
      </c>
      <c r="D38" s="286">
        <f>'目标人群测算表1'!I60</f>
        <v>3736</v>
      </c>
      <c r="E38" s="287">
        <f t="shared" si="21"/>
        <v>159</v>
      </c>
      <c r="F38" s="287">
        <f t="shared" si="27"/>
        <v>9</v>
      </c>
      <c r="G38" s="287">
        <f t="shared" si="24"/>
        <v>168</v>
      </c>
      <c r="H38" s="287">
        <v>70</v>
      </c>
      <c r="I38" s="287">
        <v>258</v>
      </c>
      <c r="J38" s="287">
        <v>17</v>
      </c>
      <c r="K38" s="287">
        <v>149</v>
      </c>
      <c r="L38" s="287">
        <f t="shared" si="12"/>
        <v>162</v>
      </c>
      <c r="M38" s="287">
        <v>-177</v>
      </c>
      <c r="N38" s="287">
        <f t="shared" si="25"/>
        <v>-171</v>
      </c>
      <c r="O38" s="30"/>
      <c r="P38" s="287">
        <f t="shared" si="26"/>
        <v>-171</v>
      </c>
    </row>
    <row r="39" spans="1:16" s="260" customFormat="1" ht="25.5" customHeight="1">
      <c r="A39" s="291">
        <v>607006</v>
      </c>
      <c r="B39" s="286" t="s">
        <v>68</v>
      </c>
      <c r="C39" s="286">
        <f>'目标人群测算表1'!L61</f>
        <v>3639</v>
      </c>
      <c r="D39" s="286">
        <f>'目标人群测算表1'!I61</f>
        <v>4549</v>
      </c>
      <c r="E39" s="287">
        <f t="shared" si="21"/>
        <v>194</v>
      </c>
      <c r="F39" s="287">
        <f t="shared" si="27"/>
        <v>9</v>
      </c>
      <c r="G39" s="287">
        <f t="shared" si="24"/>
        <v>203</v>
      </c>
      <c r="H39" s="287">
        <v>45</v>
      </c>
      <c r="I39" s="287">
        <v>206</v>
      </c>
      <c r="J39" s="287">
        <v>7</v>
      </c>
      <c r="K39" s="287">
        <v>127</v>
      </c>
      <c r="L39" s="287">
        <f t="shared" si="12"/>
        <v>117</v>
      </c>
      <c r="M39" s="287">
        <v>-139</v>
      </c>
      <c r="N39" s="287">
        <f t="shared" si="25"/>
        <v>-53</v>
      </c>
      <c r="O39" s="30"/>
      <c r="P39" s="287">
        <f t="shared" si="26"/>
        <v>-53</v>
      </c>
    </row>
    <row r="40" spans="1:16" s="260" customFormat="1" ht="25.5" customHeight="1">
      <c r="A40" s="291">
        <v>607007</v>
      </c>
      <c r="B40" s="286" t="s">
        <v>69</v>
      </c>
      <c r="C40" s="286">
        <f>'目标人群测算表1'!L62</f>
        <v>1479</v>
      </c>
      <c r="D40" s="286">
        <f>'目标人群测算表1'!I62</f>
        <v>1849</v>
      </c>
      <c r="E40" s="287">
        <f t="shared" si="21"/>
        <v>79</v>
      </c>
      <c r="F40" s="287">
        <f t="shared" si="27"/>
        <v>9</v>
      </c>
      <c r="G40" s="287">
        <f t="shared" si="24"/>
        <v>88</v>
      </c>
      <c r="H40" s="287">
        <v>33</v>
      </c>
      <c r="I40" s="287">
        <v>59</v>
      </c>
      <c r="J40" s="287">
        <v>4</v>
      </c>
      <c r="K40" s="287">
        <v>67</v>
      </c>
      <c r="L40" s="287">
        <f t="shared" si="12"/>
        <v>21</v>
      </c>
      <c r="M40" s="287">
        <v>-173</v>
      </c>
      <c r="N40" s="287">
        <f t="shared" si="25"/>
        <v>-106</v>
      </c>
      <c r="O40" s="30"/>
      <c r="P40" s="287">
        <f t="shared" si="26"/>
        <v>-106</v>
      </c>
    </row>
    <row r="41" spans="1:16" s="262" customFormat="1" ht="25.5" customHeight="1">
      <c r="A41" s="290">
        <v>608</v>
      </c>
      <c r="B41" s="281" t="s">
        <v>70</v>
      </c>
      <c r="C41" s="281">
        <f>SUM(C42:C50)</f>
        <v>29492</v>
      </c>
      <c r="D41" s="281">
        <f>SUM(D42:D50)</f>
        <v>36866</v>
      </c>
      <c r="E41" s="283">
        <f>SUM(E42:E50)</f>
        <v>1571</v>
      </c>
      <c r="F41" s="283">
        <f aca="true" t="shared" si="28" ref="F41:O41">SUM(F42:F50)</f>
        <v>84</v>
      </c>
      <c r="G41" s="283">
        <f t="shared" si="28"/>
        <v>1655</v>
      </c>
      <c r="H41" s="283">
        <f t="shared" si="28"/>
        <v>394</v>
      </c>
      <c r="I41" s="283">
        <f t="shared" si="28"/>
        <v>1428</v>
      </c>
      <c r="J41" s="283">
        <f t="shared" si="28"/>
        <v>214</v>
      </c>
      <c r="K41" s="283">
        <f t="shared" si="28"/>
        <v>913</v>
      </c>
      <c r="L41" s="283">
        <f t="shared" si="28"/>
        <v>695</v>
      </c>
      <c r="M41" s="283">
        <f aca="true" t="shared" si="29" ref="M41:P41">SUM(M42:M50)</f>
        <v>-180</v>
      </c>
      <c r="N41" s="283">
        <f t="shared" si="29"/>
        <v>780</v>
      </c>
      <c r="O41" s="283">
        <f t="shared" si="29"/>
        <v>0</v>
      </c>
      <c r="P41" s="283">
        <f t="shared" si="29"/>
        <v>780</v>
      </c>
    </row>
    <row r="42" spans="1:16" s="260" customFormat="1" ht="25.5" customHeight="1">
      <c r="A42" s="291">
        <v>608001</v>
      </c>
      <c r="B42" s="286" t="s">
        <v>71</v>
      </c>
      <c r="C42" s="286">
        <f>'目标人群测算表1'!L64</f>
        <v>0</v>
      </c>
      <c r="D42" s="286">
        <f>'目标人群测算表1'!I64</f>
        <v>0</v>
      </c>
      <c r="E42" s="287">
        <f t="shared" si="21"/>
        <v>0</v>
      </c>
      <c r="F42" s="287">
        <v>12</v>
      </c>
      <c r="G42" s="287">
        <f aca="true" t="shared" si="30" ref="G42:G50">F42+E42</f>
        <v>12</v>
      </c>
      <c r="H42" s="287">
        <v>0</v>
      </c>
      <c r="I42" s="287">
        <v>0</v>
      </c>
      <c r="J42" s="287">
        <v>0</v>
      </c>
      <c r="K42" s="287">
        <v>0</v>
      </c>
      <c r="L42" s="287">
        <f t="shared" si="12"/>
        <v>0</v>
      </c>
      <c r="M42" s="287">
        <v>-70</v>
      </c>
      <c r="N42" s="287">
        <f aca="true" t="shared" si="31" ref="N42:N50">G42-L42+M42</f>
        <v>-58</v>
      </c>
      <c r="O42" s="30"/>
      <c r="P42" s="287">
        <f aca="true" t="shared" si="32" ref="P42:P50">N42-O42</f>
        <v>-58</v>
      </c>
    </row>
    <row r="43" spans="1:16" s="260" customFormat="1" ht="25.5" customHeight="1">
      <c r="A43" s="291">
        <v>608002</v>
      </c>
      <c r="B43" s="286" t="s">
        <v>72</v>
      </c>
      <c r="C43" s="286">
        <f>'目标人群测算表1'!L65</f>
        <v>2813</v>
      </c>
      <c r="D43" s="286">
        <f>'目标人群测算表1'!I65</f>
        <v>3516</v>
      </c>
      <c r="E43" s="287">
        <f t="shared" si="21"/>
        <v>150</v>
      </c>
      <c r="F43" s="287">
        <f t="shared" si="27"/>
        <v>9</v>
      </c>
      <c r="G43" s="287">
        <f t="shared" si="30"/>
        <v>159</v>
      </c>
      <c r="H43" s="287">
        <v>31</v>
      </c>
      <c r="I43" s="287">
        <v>275</v>
      </c>
      <c r="J43" s="287">
        <v>14</v>
      </c>
      <c r="K43" s="287">
        <v>81</v>
      </c>
      <c r="L43" s="287">
        <f t="shared" si="12"/>
        <v>211</v>
      </c>
      <c r="M43" s="287">
        <v>0</v>
      </c>
      <c r="N43" s="287">
        <f t="shared" si="31"/>
        <v>-52</v>
      </c>
      <c r="O43" s="30"/>
      <c r="P43" s="287">
        <f t="shared" si="32"/>
        <v>-52</v>
      </c>
    </row>
    <row r="44" spans="1:16" s="260" customFormat="1" ht="25.5" customHeight="1">
      <c r="A44" s="291">
        <v>608003</v>
      </c>
      <c r="B44" s="286" t="s">
        <v>73</v>
      </c>
      <c r="C44" s="286">
        <f>'目标人群测算表1'!L66</f>
        <v>5199</v>
      </c>
      <c r="D44" s="286">
        <f>'目标人群测算表1'!I66</f>
        <v>6499</v>
      </c>
      <c r="E44" s="287">
        <f t="shared" si="21"/>
        <v>277</v>
      </c>
      <c r="F44" s="287">
        <f t="shared" si="27"/>
        <v>9</v>
      </c>
      <c r="G44" s="287">
        <f t="shared" si="30"/>
        <v>286</v>
      </c>
      <c r="H44" s="287">
        <v>90</v>
      </c>
      <c r="I44" s="287">
        <v>275</v>
      </c>
      <c r="J44" s="287">
        <v>49</v>
      </c>
      <c r="K44" s="287">
        <v>173</v>
      </c>
      <c r="L44" s="287">
        <f t="shared" si="12"/>
        <v>143</v>
      </c>
      <c r="M44" s="287">
        <v>-108</v>
      </c>
      <c r="N44" s="287">
        <f t="shared" si="31"/>
        <v>35</v>
      </c>
      <c r="O44" s="30"/>
      <c r="P44" s="287">
        <f t="shared" si="32"/>
        <v>35</v>
      </c>
    </row>
    <row r="45" spans="1:16" s="260" customFormat="1" ht="25.5" customHeight="1">
      <c r="A45" s="291">
        <v>608004</v>
      </c>
      <c r="B45" s="286" t="s">
        <v>74</v>
      </c>
      <c r="C45" s="286">
        <f>'目标人群测算表1'!L67</f>
        <v>5295</v>
      </c>
      <c r="D45" s="286">
        <f>'目标人群测算表1'!I67</f>
        <v>6619</v>
      </c>
      <c r="E45" s="287">
        <f t="shared" si="21"/>
        <v>282</v>
      </c>
      <c r="F45" s="287">
        <f aca="true" t="shared" si="33" ref="F45:F54">9</f>
        <v>9</v>
      </c>
      <c r="G45" s="287">
        <f t="shared" si="30"/>
        <v>291</v>
      </c>
      <c r="H45" s="287">
        <v>48</v>
      </c>
      <c r="I45" s="287">
        <v>193</v>
      </c>
      <c r="J45" s="287">
        <v>34</v>
      </c>
      <c r="K45" s="287">
        <v>180</v>
      </c>
      <c r="L45" s="287">
        <f aca="true" t="shared" si="34" ref="L45:L76">H45+I45-J45-K45</f>
        <v>27</v>
      </c>
      <c r="M45" s="287">
        <v>0</v>
      </c>
      <c r="N45" s="287">
        <f t="shared" si="31"/>
        <v>264</v>
      </c>
      <c r="O45" s="30"/>
      <c r="P45" s="287">
        <f t="shared" si="32"/>
        <v>264</v>
      </c>
    </row>
    <row r="46" spans="1:16" s="260" customFormat="1" ht="25.5" customHeight="1">
      <c r="A46" s="291">
        <v>608005</v>
      </c>
      <c r="B46" s="286" t="s">
        <v>75</v>
      </c>
      <c r="C46" s="286">
        <f>'目标人群测算表1'!L68</f>
        <v>1451</v>
      </c>
      <c r="D46" s="286">
        <f>'目标人群测算表1'!I68</f>
        <v>1814</v>
      </c>
      <c r="E46" s="287">
        <f t="shared" si="21"/>
        <v>77</v>
      </c>
      <c r="F46" s="287">
        <f t="shared" si="33"/>
        <v>9</v>
      </c>
      <c r="G46" s="287">
        <f t="shared" si="30"/>
        <v>86</v>
      </c>
      <c r="H46" s="287">
        <v>18</v>
      </c>
      <c r="I46" s="287">
        <v>89</v>
      </c>
      <c r="J46" s="287">
        <v>11</v>
      </c>
      <c r="K46" s="287">
        <v>46</v>
      </c>
      <c r="L46" s="287">
        <f t="shared" si="34"/>
        <v>50</v>
      </c>
      <c r="M46" s="287">
        <v>0</v>
      </c>
      <c r="N46" s="287">
        <f t="shared" si="31"/>
        <v>36</v>
      </c>
      <c r="O46" s="30"/>
      <c r="P46" s="287">
        <f t="shared" si="32"/>
        <v>36</v>
      </c>
    </row>
    <row r="47" spans="1:16" s="260" customFormat="1" ht="25.5" customHeight="1">
      <c r="A47" s="291">
        <v>608006</v>
      </c>
      <c r="B47" s="286" t="s">
        <v>76</v>
      </c>
      <c r="C47" s="286">
        <f>'目标人群测算表1'!L69</f>
        <v>1282</v>
      </c>
      <c r="D47" s="286">
        <f>'目标人群测算表1'!I69</f>
        <v>1602</v>
      </c>
      <c r="E47" s="287">
        <f t="shared" si="21"/>
        <v>68</v>
      </c>
      <c r="F47" s="287">
        <f t="shared" si="33"/>
        <v>9</v>
      </c>
      <c r="G47" s="287">
        <f t="shared" si="30"/>
        <v>77</v>
      </c>
      <c r="H47" s="287">
        <v>19</v>
      </c>
      <c r="I47" s="287">
        <v>76</v>
      </c>
      <c r="J47" s="287">
        <v>8</v>
      </c>
      <c r="K47" s="287">
        <v>46</v>
      </c>
      <c r="L47" s="287">
        <f t="shared" si="34"/>
        <v>41</v>
      </c>
      <c r="M47" s="287">
        <v>0</v>
      </c>
      <c r="N47" s="287">
        <f t="shared" si="31"/>
        <v>36</v>
      </c>
      <c r="O47" s="30"/>
      <c r="P47" s="287">
        <f t="shared" si="32"/>
        <v>36</v>
      </c>
    </row>
    <row r="48" spans="1:16" s="260" customFormat="1" ht="25.5" customHeight="1">
      <c r="A48" s="291">
        <v>608007</v>
      </c>
      <c r="B48" s="286" t="s">
        <v>77</v>
      </c>
      <c r="C48" s="286">
        <f>'目标人群测算表1'!L70</f>
        <v>2060</v>
      </c>
      <c r="D48" s="286">
        <f>'目标人群测算表1'!I70</f>
        <v>2575</v>
      </c>
      <c r="E48" s="287">
        <f t="shared" si="21"/>
        <v>110</v>
      </c>
      <c r="F48" s="287">
        <f t="shared" si="33"/>
        <v>9</v>
      </c>
      <c r="G48" s="287">
        <f t="shared" si="30"/>
        <v>119</v>
      </c>
      <c r="H48" s="287">
        <v>30</v>
      </c>
      <c r="I48" s="287">
        <v>114</v>
      </c>
      <c r="J48" s="287">
        <v>12</v>
      </c>
      <c r="K48" s="287">
        <v>64</v>
      </c>
      <c r="L48" s="287">
        <f t="shared" si="34"/>
        <v>68</v>
      </c>
      <c r="M48" s="287">
        <v>0</v>
      </c>
      <c r="N48" s="287">
        <f t="shared" si="31"/>
        <v>51</v>
      </c>
      <c r="O48" s="30"/>
      <c r="P48" s="287">
        <f t="shared" si="32"/>
        <v>51</v>
      </c>
    </row>
    <row r="49" spans="1:16" s="260" customFormat="1" ht="25.5" customHeight="1">
      <c r="A49" s="291">
        <v>608008</v>
      </c>
      <c r="B49" s="286" t="s">
        <v>78</v>
      </c>
      <c r="C49" s="286">
        <f>'目标人群测算表1'!L71</f>
        <v>3318</v>
      </c>
      <c r="D49" s="286">
        <f>'目标人群测算表1'!I71</f>
        <v>4148</v>
      </c>
      <c r="E49" s="287">
        <f t="shared" si="21"/>
        <v>177</v>
      </c>
      <c r="F49" s="287">
        <f t="shared" si="33"/>
        <v>9</v>
      </c>
      <c r="G49" s="287">
        <f t="shared" si="30"/>
        <v>186</v>
      </c>
      <c r="H49" s="287">
        <v>42</v>
      </c>
      <c r="I49" s="287">
        <v>165</v>
      </c>
      <c r="J49" s="287">
        <v>24</v>
      </c>
      <c r="K49" s="287">
        <v>103</v>
      </c>
      <c r="L49" s="287">
        <f t="shared" si="34"/>
        <v>80</v>
      </c>
      <c r="M49" s="287">
        <v>0</v>
      </c>
      <c r="N49" s="287">
        <f t="shared" si="31"/>
        <v>106</v>
      </c>
      <c r="O49" s="30"/>
      <c r="P49" s="287">
        <f t="shared" si="32"/>
        <v>106</v>
      </c>
    </row>
    <row r="50" spans="1:16" s="260" customFormat="1" ht="25.5" customHeight="1">
      <c r="A50" s="291">
        <v>608009</v>
      </c>
      <c r="B50" s="286" t="s">
        <v>79</v>
      </c>
      <c r="C50" s="286">
        <f>'目标人群测算表1'!L72</f>
        <v>8074</v>
      </c>
      <c r="D50" s="286">
        <f>'目标人群测算表1'!I72</f>
        <v>10093</v>
      </c>
      <c r="E50" s="287">
        <f t="shared" si="21"/>
        <v>430</v>
      </c>
      <c r="F50" s="287">
        <f t="shared" si="33"/>
        <v>9</v>
      </c>
      <c r="G50" s="287">
        <f t="shared" si="30"/>
        <v>439</v>
      </c>
      <c r="H50" s="287">
        <v>116</v>
      </c>
      <c r="I50" s="287">
        <v>241</v>
      </c>
      <c r="J50" s="287">
        <v>62</v>
      </c>
      <c r="K50" s="287">
        <v>220</v>
      </c>
      <c r="L50" s="287">
        <f t="shared" si="34"/>
        <v>75</v>
      </c>
      <c r="M50" s="287">
        <v>-2</v>
      </c>
      <c r="N50" s="287">
        <f t="shared" si="31"/>
        <v>362</v>
      </c>
      <c r="O50" s="30"/>
      <c r="P50" s="287">
        <f t="shared" si="32"/>
        <v>362</v>
      </c>
    </row>
    <row r="51" spans="1:16" s="262" customFormat="1" ht="25.5" customHeight="1">
      <c r="A51" s="290">
        <v>609</v>
      </c>
      <c r="B51" s="281" t="s">
        <v>80</v>
      </c>
      <c r="C51" s="281">
        <f>SUM(C52:C57)</f>
        <v>39738</v>
      </c>
      <c r="D51" s="281">
        <f>SUM(D52:D57)</f>
        <v>49674</v>
      </c>
      <c r="E51" s="283">
        <f>SUM(E52:E57)</f>
        <v>2116</v>
      </c>
      <c r="F51" s="283">
        <f aca="true" t="shared" si="35" ref="F51:O51">SUM(F52:F57)</f>
        <v>57</v>
      </c>
      <c r="G51" s="283">
        <f t="shared" si="35"/>
        <v>2173</v>
      </c>
      <c r="H51" s="283">
        <f t="shared" si="35"/>
        <v>400</v>
      </c>
      <c r="I51" s="283">
        <f t="shared" si="35"/>
        <v>1242</v>
      </c>
      <c r="J51" s="283">
        <f t="shared" si="35"/>
        <v>544</v>
      </c>
      <c r="K51" s="283">
        <f t="shared" si="35"/>
        <v>1441</v>
      </c>
      <c r="L51" s="283">
        <f t="shared" si="35"/>
        <v>-343</v>
      </c>
      <c r="M51" s="283">
        <f aca="true" t="shared" si="36" ref="M51:P51">SUM(M52:M57)</f>
        <v>0</v>
      </c>
      <c r="N51" s="283">
        <f t="shared" si="36"/>
        <v>2516</v>
      </c>
      <c r="O51" s="283">
        <f t="shared" si="36"/>
        <v>260</v>
      </c>
      <c r="P51" s="283">
        <f t="shared" si="36"/>
        <v>2256</v>
      </c>
    </row>
    <row r="52" spans="1:16" s="260" customFormat="1" ht="25.5" customHeight="1">
      <c r="A52" s="291">
        <v>609001</v>
      </c>
      <c r="B52" s="286" t="s">
        <v>81</v>
      </c>
      <c r="C52" s="286">
        <f>'目标人群测算表1'!L74</f>
        <v>7196</v>
      </c>
      <c r="D52" s="286">
        <f>'目标人群测算表1'!I74</f>
        <v>8995</v>
      </c>
      <c r="E52" s="287">
        <v>384</v>
      </c>
      <c r="F52" s="287">
        <v>12</v>
      </c>
      <c r="G52" s="287">
        <f>F52+E52</f>
        <v>396</v>
      </c>
      <c r="H52" s="287">
        <v>18</v>
      </c>
      <c r="I52" s="287">
        <v>96</v>
      </c>
      <c r="J52" s="287">
        <v>22</v>
      </c>
      <c r="K52" s="287">
        <v>67</v>
      </c>
      <c r="L52" s="287">
        <f t="shared" si="34"/>
        <v>25</v>
      </c>
      <c r="M52" s="287">
        <v>0</v>
      </c>
      <c r="N52" s="287">
        <f aca="true" t="shared" si="37" ref="N52:N57">G52-L52+M52</f>
        <v>371</v>
      </c>
      <c r="O52" s="30">
        <v>260</v>
      </c>
      <c r="P52" s="298">
        <f aca="true" t="shared" si="38" ref="P52:P57">N52-O52</f>
        <v>111</v>
      </c>
    </row>
    <row r="53" spans="1:16" s="260" customFormat="1" ht="25.5" customHeight="1">
      <c r="A53" s="291">
        <v>609002</v>
      </c>
      <c r="B53" s="286" t="s">
        <v>82</v>
      </c>
      <c r="C53" s="286">
        <f>'目标人群测算表1'!L75</f>
        <v>9166</v>
      </c>
      <c r="D53" s="286">
        <f>'目标人群测算表1'!I75</f>
        <v>11458</v>
      </c>
      <c r="E53" s="287">
        <f>ROUND((D53*130+C53*370)/10000,0)</f>
        <v>488</v>
      </c>
      <c r="F53" s="287">
        <f aca="true" t="shared" si="39" ref="F53:F62">9</f>
        <v>9</v>
      </c>
      <c r="G53" s="287">
        <f aca="true" t="shared" si="40" ref="G52:G57">F53+E53</f>
        <v>497</v>
      </c>
      <c r="H53" s="287">
        <v>158</v>
      </c>
      <c r="I53" s="287">
        <v>475</v>
      </c>
      <c r="J53" s="287">
        <v>186</v>
      </c>
      <c r="K53" s="287">
        <v>512</v>
      </c>
      <c r="L53" s="287">
        <f t="shared" si="34"/>
        <v>-65</v>
      </c>
      <c r="M53" s="287">
        <v>0</v>
      </c>
      <c r="N53" s="287">
        <f t="shared" si="37"/>
        <v>562</v>
      </c>
      <c r="O53" s="30"/>
      <c r="P53" s="287">
        <f t="shared" si="38"/>
        <v>562</v>
      </c>
    </row>
    <row r="54" spans="1:16" s="260" customFormat="1" ht="25.5" customHeight="1">
      <c r="A54" s="291">
        <v>609003</v>
      </c>
      <c r="B54" s="286" t="s">
        <v>83</v>
      </c>
      <c r="C54" s="286">
        <f>'目标人群测算表1'!L76</f>
        <v>4436</v>
      </c>
      <c r="D54" s="286">
        <f>'目标人群测算表1'!I76</f>
        <v>5545</v>
      </c>
      <c r="E54" s="287">
        <f t="shared" si="21"/>
        <v>236</v>
      </c>
      <c r="F54" s="287">
        <f t="shared" si="39"/>
        <v>9</v>
      </c>
      <c r="G54" s="287">
        <f t="shared" si="40"/>
        <v>245</v>
      </c>
      <c r="H54" s="287">
        <v>62</v>
      </c>
      <c r="I54" s="287">
        <v>213</v>
      </c>
      <c r="J54" s="287">
        <v>74</v>
      </c>
      <c r="K54" s="287">
        <v>179</v>
      </c>
      <c r="L54" s="287">
        <f t="shared" si="34"/>
        <v>22</v>
      </c>
      <c r="M54" s="287">
        <v>0</v>
      </c>
      <c r="N54" s="287">
        <f t="shared" si="37"/>
        <v>223</v>
      </c>
      <c r="O54" s="30"/>
      <c r="P54" s="287">
        <f t="shared" si="38"/>
        <v>223</v>
      </c>
    </row>
    <row r="55" spans="1:16" s="260" customFormat="1" ht="25.5" customHeight="1">
      <c r="A55" s="291">
        <v>609004</v>
      </c>
      <c r="B55" s="286" t="s">
        <v>84</v>
      </c>
      <c r="C55" s="286">
        <f>'目标人群测算表1'!L77</f>
        <v>9530</v>
      </c>
      <c r="D55" s="286">
        <f>'目标人群测算表1'!I77</f>
        <v>11913</v>
      </c>
      <c r="E55" s="287">
        <f t="shared" si="21"/>
        <v>507</v>
      </c>
      <c r="F55" s="287">
        <f t="shared" si="39"/>
        <v>9</v>
      </c>
      <c r="G55" s="287">
        <f t="shared" si="40"/>
        <v>516</v>
      </c>
      <c r="H55" s="287">
        <v>79</v>
      </c>
      <c r="I55" s="287">
        <v>220</v>
      </c>
      <c r="J55" s="287">
        <v>85</v>
      </c>
      <c r="K55" s="287">
        <v>353</v>
      </c>
      <c r="L55" s="287">
        <f t="shared" si="34"/>
        <v>-139</v>
      </c>
      <c r="M55" s="287">
        <v>0</v>
      </c>
      <c r="N55" s="287">
        <f t="shared" si="37"/>
        <v>655</v>
      </c>
      <c r="O55" s="30"/>
      <c r="P55" s="287">
        <f t="shared" si="38"/>
        <v>655</v>
      </c>
    </row>
    <row r="56" spans="1:16" s="260" customFormat="1" ht="25.5" customHeight="1">
      <c r="A56" s="291">
        <v>609005</v>
      </c>
      <c r="B56" s="286" t="s">
        <v>85</v>
      </c>
      <c r="C56" s="286">
        <f>'目标人群测算表1'!L78</f>
        <v>6950</v>
      </c>
      <c r="D56" s="286">
        <f>'目标人群测算表1'!I78</f>
        <v>8688</v>
      </c>
      <c r="E56" s="287">
        <f t="shared" si="21"/>
        <v>370</v>
      </c>
      <c r="F56" s="287">
        <f t="shared" si="39"/>
        <v>9</v>
      </c>
      <c r="G56" s="287">
        <f t="shared" si="40"/>
        <v>379</v>
      </c>
      <c r="H56" s="287">
        <v>66</v>
      </c>
      <c r="I56" s="287">
        <v>193</v>
      </c>
      <c r="J56" s="287">
        <v>81</v>
      </c>
      <c r="K56" s="287">
        <v>273</v>
      </c>
      <c r="L56" s="287">
        <f t="shared" si="34"/>
        <v>-95</v>
      </c>
      <c r="M56" s="287">
        <v>0</v>
      </c>
      <c r="N56" s="287">
        <f t="shared" si="37"/>
        <v>474</v>
      </c>
      <c r="O56" s="30"/>
      <c r="P56" s="287">
        <f t="shared" si="38"/>
        <v>474</v>
      </c>
    </row>
    <row r="57" spans="1:16" s="260" customFormat="1" ht="25.5" customHeight="1">
      <c r="A57" s="291">
        <v>609006</v>
      </c>
      <c r="B57" s="286" t="s">
        <v>86</v>
      </c>
      <c r="C57" s="286">
        <f>'目标人群测算表1'!L79</f>
        <v>2460</v>
      </c>
      <c r="D57" s="286">
        <f>'目标人群测算表1'!I79</f>
        <v>3075</v>
      </c>
      <c r="E57" s="287">
        <f t="shared" si="21"/>
        <v>131</v>
      </c>
      <c r="F57" s="287">
        <f t="shared" si="39"/>
        <v>9</v>
      </c>
      <c r="G57" s="287">
        <f t="shared" si="40"/>
        <v>140</v>
      </c>
      <c r="H57" s="287">
        <v>17</v>
      </c>
      <c r="I57" s="287">
        <v>45</v>
      </c>
      <c r="J57" s="287">
        <v>96</v>
      </c>
      <c r="K57" s="287">
        <v>57</v>
      </c>
      <c r="L57" s="287">
        <f t="shared" si="34"/>
        <v>-91</v>
      </c>
      <c r="M57" s="287">
        <v>0</v>
      </c>
      <c r="N57" s="287">
        <f t="shared" si="37"/>
        <v>231</v>
      </c>
      <c r="O57" s="30"/>
      <c r="P57" s="287">
        <f t="shared" si="38"/>
        <v>231</v>
      </c>
    </row>
    <row r="58" spans="1:16" s="262" customFormat="1" ht="25.5" customHeight="1">
      <c r="A58" s="290">
        <v>610</v>
      </c>
      <c r="B58" s="281" t="s">
        <v>87</v>
      </c>
      <c r="C58" s="281">
        <f>SUM(C59:C63)</f>
        <v>28724</v>
      </c>
      <c r="D58" s="281">
        <f>SUM(D59:D63)</f>
        <v>35905</v>
      </c>
      <c r="E58" s="283">
        <f>SUM(E59:E63)</f>
        <v>1530</v>
      </c>
      <c r="F58" s="283">
        <f aca="true" t="shared" si="41" ref="F58:O58">SUM(F59:F63)</f>
        <v>48</v>
      </c>
      <c r="G58" s="283">
        <f t="shared" si="41"/>
        <v>1578</v>
      </c>
      <c r="H58" s="283">
        <f t="shared" si="41"/>
        <v>264</v>
      </c>
      <c r="I58" s="283">
        <f t="shared" si="41"/>
        <v>761</v>
      </c>
      <c r="J58" s="283">
        <f t="shared" si="41"/>
        <v>44</v>
      </c>
      <c r="K58" s="283">
        <f t="shared" si="41"/>
        <v>522</v>
      </c>
      <c r="L58" s="283">
        <f t="shared" si="41"/>
        <v>459</v>
      </c>
      <c r="M58" s="283">
        <f aca="true" t="shared" si="42" ref="M58:P58">SUM(M59:M63)</f>
        <v>-1368</v>
      </c>
      <c r="N58" s="283">
        <f t="shared" si="42"/>
        <v>-249</v>
      </c>
      <c r="O58" s="283">
        <f t="shared" si="42"/>
        <v>0</v>
      </c>
      <c r="P58" s="283">
        <f t="shared" si="42"/>
        <v>-249</v>
      </c>
    </row>
    <row r="59" spans="1:16" s="260" customFormat="1" ht="25.5" customHeight="1">
      <c r="A59" s="291">
        <v>610001</v>
      </c>
      <c r="B59" s="286" t="s">
        <v>88</v>
      </c>
      <c r="C59" s="286">
        <f>'目标人群测算表1'!L81</f>
        <v>413</v>
      </c>
      <c r="D59" s="286">
        <f>'目标人群测算表1'!I81</f>
        <v>516</v>
      </c>
      <c r="E59" s="287">
        <f t="shared" si="21"/>
        <v>22</v>
      </c>
      <c r="F59" s="287">
        <v>12</v>
      </c>
      <c r="G59" s="287">
        <f>F59+E59</f>
        <v>34</v>
      </c>
      <c r="H59" s="287">
        <v>7</v>
      </c>
      <c r="I59" s="287">
        <v>21</v>
      </c>
      <c r="J59" s="287">
        <v>1</v>
      </c>
      <c r="K59" s="287">
        <v>8</v>
      </c>
      <c r="L59" s="287">
        <f t="shared" si="34"/>
        <v>19</v>
      </c>
      <c r="M59" s="287">
        <v>-199</v>
      </c>
      <c r="N59" s="287">
        <f>G59-L59+M59</f>
        <v>-184</v>
      </c>
      <c r="O59" s="30"/>
      <c r="P59" s="287">
        <f>N59-O59</f>
        <v>-184</v>
      </c>
    </row>
    <row r="60" spans="1:16" s="260" customFormat="1" ht="25.5" customHeight="1">
      <c r="A60" s="291">
        <v>610002</v>
      </c>
      <c r="B60" s="286" t="s">
        <v>89</v>
      </c>
      <c r="C60" s="286">
        <f>'目标人群测算表1'!L82</f>
        <v>4165</v>
      </c>
      <c r="D60" s="286">
        <f>'目标人群测算表1'!I82</f>
        <v>5206</v>
      </c>
      <c r="E60" s="287">
        <f t="shared" si="21"/>
        <v>222</v>
      </c>
      <c r="F60" s="287">
        <f>9</f>
        <v>9</v>
      </c>
      <c r="G60" s="287">
        <f>F60+E60</f>
        <v>231</v>
      </c>
      <c r="H60" s="287">
        <v>48</v>
      </c>
      <c r="I60" s="287">
        <v>96</v>
      </c>
      <c r="J60" s="287">
        <v>8</v>
      </c>
      <c r="K60" s="287">
        <v>142</v>
      </c>
      <c r="L60" s="287">
        <f t="shared" si="34"/>
        <v>-6</v>
      </c>
      <c r="M60" s="287">
        <v>-162</v>
      </c>
      <c r="N60" s="287">
        <f>G60-L60+M60</f>
        <v>75</v>
      </c>
      <c r="O60" s="30"/>
      <c r="P60" s="287">
        <f>N60-O60</f>
        <v>75</v>
      </c>
    </row>
    <row r="61" spans="1:16" s="260" customFormat="1" ht="25.5" customHeight="1">
      <c r="A61" s="291">
        <v>610003</v>
      </c>
      <c r="B61" s="286" t="s">
        <v>90</v>
      </c>
      <c r="C61" s="286">
        <f>'目标人群测算表1'!L83</f>
        <v>15770</v>
      </c>
      <c r="D61" s="286">
        <f>'目标人群测算表1'!I83</f>
        <v>19713</v>
      </c>
      <c r="E61" s="287">
        <f aca="true" t="shared" si="43" ref="E61:E92">ROUND((D61*130+C61*370)/10000,0)</f>
        <v>840</v>
      </c>
      <c r="F61" s="287">
        <f aca="true" t="shared" si="44" ref="F61:F70">9</f>
        <v>9</v>
      </c>
      <c r="G61" s="287">
        <f>F61+E61</f>
        <v>849</v>
      </c>
      <c r="H61" s="287">
        <v>114</v>
      </c>
      <c r="I61" s="287">
        <v>465</v>
      </c>
      <c r="J61" s="287">
        <v>16</v>
      </c>
      <c r="K61" s="287">
        <v>221</v>
      </c>
      <c r="L61" s="287">
        <f t="shared" si="34"/>
        <v>342</v>
      </c>
      <c r="M61" s="287">
        <v>-233</v>
      </c>
      <c r="N61" s="287">
        <f>G61-L61+M61</f>
        <v>274</v>
      </c>
      <c r="O61" s="30"/>
      <c r="P61" s="287">
        <f>N61-O61</f>
        <v>274</v>
      </c>
    </row>
    <row r="62" spans="1:16" s="260" customFormat="1" ht="25.5" customHeight="1">
      <c r="A62" s="291">
        <v>610004</v>
      </c>
      <c r="B62" s="286" t="s">
        <v>91</v>
      </c>
      <c r="C62" s="286">
        <f>'目标人群测算表1'!L84</f>
        <v>5922</v>
      </c>
      <c r="D62" s="286">
        <f>'目标人群测算表1'!I84</f>
        <v>7403</v>
      </c>
      <c r="E62" s="287">
        <f t="shared" si="43"/>
        <v>315</v>
      </c>
      <c r="F62" s="287">
        <f t="shared" si="44"/>
        <v>9</v>
      </c>
      <c r="G62" s="287">
        <f>F62+E62</f>
        <v>324</v>
      </c>
      <c r="H62" s="287">
        <v>75</v>
      </c>
      <c r="I62" s="287">
        <v>96</v>
      </c>
      <c r="J62" s="287">
        <v>6</v>
      </c>
      <c r="K62" s="287">
        <v>69</v>
      </c>
      <c r="L62" s="287">
        <f t="shared" si="34"/>
        <v>96</v>
      </c>
      <c r="M62" s="287">
        <v>-774</v>
      </c>
      <c r="N62" s="287">
        <f>G62-L62+M62</f>
        <v>-546</v>
      </c>
      <c r="O62" s="30"/>
      <c r="P62" s="287">
        <f>N62-O62</f>
        <v>-546</v>
      </c>
    </row>
    <row r="63" spans="1:16" s="260" customFormat="1" ht="25.5" customHeight="1">
      <c r="A63" s="291">
        <v>610005</v>
      </c>
      <c r="B63" s="286" t="s">
        <v>92</v>
      </c>
      <c r="C63" s="286">
        <f>'目标人群测算表1'!L85</f>
        <v>2454</v>
      </c>
      <c r="D63" s="286">
        <f>'目标人群测算表1'!I85</f>
        <v>3067</v>
      </c>
      <c r="E63" s="287">
        <f t="shared" si="43"/>
        <v>131</v>
      </c>
      <c r="F63" s="287">
        <f t="shared" si="44"/>
        <v>9</v>
      </c>
      <c r="G63" s="287">
        <f>F63+E63</f>
        <v>140</v>
      </c>
      <c r="H63" s="287">
        <v>20</v>
      </c>
      <c r="I63" s="287">
        <v>83</v>
      </c>
      <c r="J63" s="287">
        <v>13</v>
      </c>
      <c r="K63" s="287">
        <v>82</v>
      </c>
      <c r="L63" s="287">
        <f t="shared" si="34"/>
        <v>8</v>
      </c>
      <c r="M63" s="287">
        <v>0</v>
      </c>
      <c r="N63" s="287">
        <f>G63-L63+M63</f>
        <v>132</v>
      </c>
      <c r="O63" s="30"/>
      <c r="P63" s="287">
        <f>N63-O63</f>
        <v>132</v>
      </c>
    </row>
    <row r="64" spans="1:16" s="262" customFormat="1" ht="25.5" customHeight="1">
      <c r="A64" s="290">
        <v>613</v>
      </c>
      <c r="B64" s="281" t="s">
        <v>93</v>
      </c>
      <c r="C64" s="281">
        <f>SUM(C65:C68)</f>
        <v>10171</v>
      </c>
      <c r="D64" s="281">
        <f>SUM(D65:D68)</f>
        <v>12715</v>
      </c>
      <c r="E64" s="283">
        <f>SUM(E65:E68)</f>
        <v>542</v>
      </c>
      <c r="F64" s="283">
        <f aca="true" t="shared" si="45" ref="F64:O64">SUM(F65:F68)</f>
        <v>39</v>
      </c>
      <c r="G64" s="283">
        <f t="shared" si="45"/>
        <v>581</v>
      </c>
      <c r="H64" s="283">
        <f t="shared" si="45"/>
        <v>96</v>
      </c>
      <c r="I64" s="283">
        <f t="shared" si="45"/>
        <v>664</v>
      </c>
      <c r="J64" s="283">
        <f t="shared" si="45"/>
        <v>40</v>
      </c>
      <c r="K64" s="283">
        <f t="shared" si="45"/>
        <v>456</v>
      </c>
      <c r="L64" s="283">
        <f t="shared" si="45"/>
        <v>264</v>
      </c>
      <c r="M64" s="283">
        <f aca="true" t="shared" si="46" ref="M64:P64">SUM(M65:M68)</f>
        <v>-33</v>
      </c>
      <c r="N64" s="283">
        <f t="shared" si="46"/>
        <v>284</v>
      </c>
      <c r="O64" s="283">
        <f t="shared" si="46"/>
        <v>0</v>
      </c>
      <c r="P64" s="283">
        <f t="shared" si="46"/>
        <v>284</v>
      </c>
    </row>
    <row r="65" spans="1:16" s="260" customFormat="1" ht="25.5" customHeight="1">
      <c r="A65" s="291">
        <v>613001</v>
      </c>
      <c r="B65" s="286" t="s">
        <v>94</v>
      </c>
      <c r="C65" s="286">
        <f>'目标人群测算表1'!L87</f>
        <v>0</v>
      </c>
      <c r="D65" s="286">
        <f>'目标人群测算表1'!I87</f>
        <v>0</v>
      </c>
      <c r="E65" s="287">
        <f t="shared" si="43"/>
        <v>0</v>
      </c>
      <c r="F65" s="287">
        <v>12</v>
      </c>
      <c r="G65" s="287">
        <f>F65+E65</f>
        <v>12</v>
      </c>
      <c r="H65" s="287">
        <v>0</v>
      </c>
      <c r="I65" s="287">
        <v>0</v>
      </c>
      <c r="J65" s="287">
        <v>0</v>
      </c>
      <c r="K65" s="287">
        <v>0</v>
      </c>
      <c r="L65" s="287">
        <f t="shared" si="34"/>
        <v>0</v>
      </c>
      <c r="M65" s="287">
        <v>-33</v>
      </c>
      <c r="N65" s="287">
        <f>G65-L65+M65</f>
        <v>-21</v>
      </c>
      <c r="O65" s="30"/>
      <c r="P65" s="287">
        <f>N65-O65</f>
        <v>-21</v>
      </c>
    </row>
    <row r="66" spans="1:16" s="260" customFormat="1" ht="25.5" customHeight="1">
      <c r="A66" s="291">
        <v>613005</v>
      </c>
      <c r="B66" s="286" t="s">
        <v>95</v>
      </c>
      <c r="C66" s="286">
        <f>'目标人群测算表1'!L88</f>
        <v>3571</v>
      </c>
      <c r="D66" s="286">
        <f>'目标人群测算表1'!I88</f>
        <v>4464</v>
      </c>
      <c r="E66" s="287">
        <f t="shared" si="43"/>
        <v>190</v>
      </c>
      <c r="F66" s="287">
        <f t="shared" si="44"/>
        <v>9</v>
      </c>
      <c r="G66" s="287">
        <f aca="true" t="shared" si="47" ref="G66:G71">F66+E66</f>
        <v>199</v>
      </c>
      <c r="H66" s="287">
        <v>37</v>
      </c>
      <c r="I66" s="287">
        <v>275</v>
      </c>
      <c r="J66" s="287">
        <v>8</v>
      </c>
      <c r="K66" s="287">
        <v>136</v>
      </c>
      <c r="L66" s="287">
        <f t="shared" si="34"/>
        <v>168</v>
      </c>
      <c r="M66" s="287">
        <v>0</v>
      </c>
      <c r="N66" s="287">
        <f>G66-L66+M66</f>
        <v>31</v>
      </c>
      <c r="O66" s="30"/>
      <c r="P66" s="287">
        <f>N66-O66</f>
        <v>31</v>
      </c>
    </row>
    <row r="67" spans="1:16" s="260" customFormat="1" ht="25.5" customHeight="1">
      <c r="A67" s="291">
        <v>613006</v>
      </c>
      <c r="B67" s="286" t="s">
        <v>96</v>
      </c>
      <c r="C67" s="286">
        <f>'目标人群测算表1'!L89</f>
        <v>3638</v>
      </c>
      <c r="D67" s="286">
        <f>'目标人群测算表1'!I89</f>
        <v>4548</v>
      </c>
      <c r="E67" s="287">
        <f t="shared" si="43"/>
        <v>194</v>
      </c>
      <c r="F67" s="287">
        <f t="shared" si="44"/>
        <v>9</v>
      </c>
      <c r="G67" s="287">
        <f t="shared" si="47"/>
        <v>203</v>
      </c>
      <c r="H67" s="287">
        <v>36</v>
      </c>
      <c r="I67" s="287">
        <v>224</v>
      </c>
      <c r="J67" s="287">
        <v>7</v>
      </c>
      <c r="K67" s="287">
        <v>208</v>
      </c>
      <c r="L67" s="287">
        <f t="shared" si="34"/>
        <v>45</v>
      </c>
      <c r="M67" s="287">
        <v>0</v>
      </c>
      <c r="N67" s="287">
        <f>G67-L67+M67</f>
        <v>158</v>
      </c>
      <c r="O67" s="30"/>
      <c r="P67" s="287">
        <f>N67-O67</f>
        <v>158</v>
      </c>
    </row>
    <row r="68" spans="1:16" s="260" customFormat="1" ht="25.5" customHeight="1">
      <c r="A68" s="291">
        <v>613008</v>
      </c>
      <c r="B68" s="286" t="s">
        <v>97</v>
      </c>
      <c r="C68" s="286">
        <f>'目标人群测算表1'!L90</f>
        <v>2962</v>
      </c>
      <c r="D68" s="286">
        <f>'目标人群测算表1'!I90</f>
        <v>3703</v>
      </c>
      <c r="E68" s="287">
        <f t="shared" si="43"/>
        <v>158</v>
      </c>
      <c r="F68" s="287">
        <f t="shared" si="44"/>
        <v>9</v>
      </c>
      <c r="G68" s="287">
        <f t="shared" si="47"/>
        <v>167</v>
      </c>
      <c r="H68" s="287">
        <v>23</v>
      </c>
      <c r="I68" s="287">
        <v>165</v>
      </c>
      <c r="J68" s="287">
        <v>25</v>
      </c>
      <c r="K68" s="287">
        <v>112</v>
      </c>
      <c r="L68" s="287">
        <f t="shared" si="34"/>
        <v>51</v>
      </c>
      <c r="M68" s="287">
        <v>0</v>
      </c>
      <c r="N68" s="287">
        <f>G68-L68+M68</f>
        <v>116</v>
      </c>
      <c r="O68" s="30"/>
      <c r="P68" s="287">
        <f>N68-O68</f>
        <v>116</v>
      </c>
    </row>
    <row r="69" spans="1:16" s="262" customFormat="1" ht="25.5" customHeight="1">
      <c r="A69" s="290">
        <v>614</v>
      </c>
      <c r="B69" s="281" t="s">
        <v>98</v>
      </c>
      <c r="C69" s="281">
        <f>SUM(C70:C74)</f>
        <v>20441</v>
      </c>
      <c r="D69" s="281">
        <f>SUM(D70:D74)</f>
        <v>25551</v>
      </c>
      <c r="E69" s="283">
        <f>SUM(E70:E74)</f>
        <v>1088</v>
      </c>
      <c r="F69" s="283">
        <f aca="true" t="shared" si="48" ref="F69:O69">SUM(F70:F74)</f>
        <v>48</v>
      </c>
      <c r="G69" s="283">
        <f t="shared" si="48"/>
        <v>1136</v>
      </c>
      <c r="H69" s="283">
        <f t="shared" si="48"/>
        <v>230</v>
      </c>
      <c r="I69" s="283">
        <f t="shared" si="48"/>
        <v>832</v>
      </c>
      <c r="J69" s="283">
        <f t="shared" si="48"/>
        <v>195</v>
      </c>
      <c r="K69" s="283">
        <f t="shared" si="48"/>
        <v>742</v>
      </c>
      <c r="L69" s="283">
        <f t="shared" si="48"/>
        <v>125</v>
      </c>
      <c r="M69" s="283">
        <f aca="true" t="shared" si="49" ref="M69:P69">SUM(M70:M74)</f>
        <v>-198</v>
      </c>
      <c r="N69" s="283">
        <f t="shared" si="49"/>
        <v>813</v>
      </c>
      <c r="O69" s="283">
        <f t="shared" si="49"/>
        <v>0</v>
      </c>
      <c r="P69" s="283">
        <f t="shared" si="49"/>
        <v>813</v>
      </c>
    </row>
    <row r="70" spans="1:16" s="260" customFormat="1" ht="25.5" customHeight="1">
      <c r="A70" s="291">
        <v>614001</v>
      </c>
      <c r="B70" s="286" t="s">
        <v>99</v>
      </c>
      <c r="C70" s="286">
        <f>'目标人群测算表1'!L92</f>
        <v>0</v>
      </c>
      <c r="D70" s="286">
        <f>'目标人群测算表1'!I92</f>
        <v>0</v>
      </c>
      <c r="E70" s="287">
        <f t="shared" si="43"/>
        <v>0</v>
      </c>
      <c r="F70" s="287">
        <v>12</v>
      </c>
      <c r="G70" s="287">
        <f t="shared" si="47"/>
        <v>12</v>
      </c>
      <c r="H70" s="287">
        <v>17</v>
      </c>
      <c r="I70" s="287">
        <v>24</v>
      </c>
      <c r="J70" s="287">
        <v>2</v>
      </c>
      <c r="K70" s="287">
        <v>31</v>
      </c>
      <c r="L70" s="287">
        <f t="shared" si="34"/>
        <v>8</v>
      </c>
      <c r="M70" s="287">
        <v>-100</v>
      </c>
      <c r="N70" s="287">
        <f>G70-L70+M70</f>
        <v>-96</v>
      </c>
      <c r="O70" s="30"/>
      <c r="P70" s="287">
        <f>N70-O70</f>
        <v>-96</v>
      </c>
    </row>
    <row r="71" spans="1:16" s="260" customFormat="1" ht="25.5" customHeight="1">
      <c r="A71" s="291">
        <v>614002</v>
      </c>
      <c r="B71" s="286" t="s">
        <v>100</v>
      </c>
      <c r="C71" s="286">
        <f>'目标人群测算表1'!L93</f>
        <v>5124</v>
      </c>
      <c r="D71" s="286">
        <f>'目标人群测算表1'!I93</f>
        <v>6405</v>
      </c>
      <c r="E71" s="287">
        <v>272</v>
      </c>
      <c r="F71" s="287">
        <f>9</f>
        <v>9</v>
      </c>
      <c r="G71" s="287">
        <f t="shared" si="47"/>
        <v>281</v>
      </c>
      <c r="H71" s="287">
        <v>59</v>
      </c>
      <c r="I71" s="287">
        <v>96</v>
      </c>
      <c r="J71" s="287">
        <v>32</v>
      </c>
      <c r="K71" s="287">
        <v>243</v>
      </c>
      <c r="L71" s="287">
        <f t="shared" si="34"/>
        <v>-120</v>
      </c>
      <c r="M71" s="287">
        <v>0</v>
      </c>
      <c r="N71" s="287">
        <f>G71-L71+M71</f>
        <v>401</v>
      </c>
      <c r="O71" s="30"/>
      <c r="P71" s="287">
        <f>N71-O71</f>
        <v>401</v>
      </c>
    </row>
    <row r="72" spans="1:16" s="260" customFormat="1" ht="25.5" customHeight="1">
      <c r="A72" s="291">
        <v>614003</v>
      </c>
      <c r="B72" s="286" t="s">
        <v>101</v>
      </c>
      <c r="C72" s="286">
        <f>'目标人群测算表1'!L94</f>
        <v>6134</v>
      </c>
      <c r="D72" s="286">
        <f>'目标人群测算表1'!I94</f>
        <v>7667</v>
      </c>
      <c r="E72" s="287">
        <f t="shared" si="43"/>
        <v>327</v>
      </c>
      <c r="F72" s="287">
        <f>9</f>
        <v>9</v>
      </c>
      <c r="G72" s="287">
        <f aca="true" t="shared" si="50" ref="G72:G77">F72+E72</f>
        <v>336</v>
      </c>
      <c r="H72" s="287">
        <v>85</v>
      </c>
      <c r="I72" s="287">
        <v>406</v>
      </c>
      <c r="J72" s="287">
        <v>108</v>
      </c>
      <c r="K72" s="287">
        <v>246</v>
      </c>
      <c r="L72" s="287">
        <f t="shared" si="34"/>
        <v>137</v>
      </c>
      <c r="M72" s="287">
        <v>0</v>
      </c>
      <c r="N72" s="287">
        <f>G72-L72+M72</f>
        <v>199</v>
      </c>
      <c r="O72" s="30"/>
      <c r="P72" s="287">
        <f>N72-O72</f>
        <v>199</v>
      </c>
    </row>
    <row r="73" spans="1:16" s="260" customFormat="1" ht="25.5" customHeight="1">
      <c r="A73" s="291">
        <v>614004</v>
      </c>
      <c r="B73" s="286" t="s">
        <v>102</v>
      </c>
      <c r="C73" s="286">
        <f>'目标人群测算表1'!L95</f>
        <v>4620</v>
      </c>
      <c r="D73" s="286">
        <f>'目标人群测算表1'!I95</f>
        <v>5775</v>
      </c>
      <c r="E73" s="287">
        <f t="shared" si="43"/>
        <v>246</v>
      </c>
      <c r="F73" s="287">
        <f>9</f>
        <v>9</v>
      </c>
      <c r="G73" s="287">
        <f t="shared" si="50"/>
        <v>255</v>
      </c>
      <c r="H73" s="287">
        <v>29</v>
      </c>
      <c r="I73" s="287">
        <v>127</v>
      </c>
      <c r="J73" s="287">
        <v>26</v>
      </c>
      <c r="K73" s="287">
        <v>104</v>
      </c>
      <c r="L73" s="287">
        <f t="shared" si="34"/>
        <v>26</v>
      </c>
      <c r="M73" s="287">
        <v>0</v>
      </c>
      <c r="N73" s="287">
        <f>G73-L73+M73</f>
        <v>229</v>
      </c>
      <c r="O73" s="30"/>
      <c r="P73" s="287">
        <f>N73-O73</f>
        <v>229</v>
      </c>
    </row>
    <row r="74" spans="1:16" s="260" customFormat="1" ht="25.5" customHeight="1">
      <c r="A74" s="291">
        <v>614005</v>
      </c>
      <c r="B74" s="286" t="s">
        <v>103</v>
      </c>
      <c r="C74" s="286">
        <f>'目标人群测算表1'!L96</f>
        <v>4563</v>
      </c>
      <c r="D74" s="286">
        <f>'目标人群测算表1'!I96</f>
        <v>5704</v>
      </c>
      <c r="E74" s="287">
        <f t="shared" si="43"/>
        <v>243</v>
      </c>
      <c r="F74" s="287">
        <f>9</f>
        <v>9</v>
      </c>
      <c r="G74" s="287">
        <f t="shared" si="50"/>
        <v>252</v>
      </c>
      <c r="H74" s="287">
        <v>40</v>
      </c>
      <c r="I74" s="287">
        <v>179</v>
      </c>
      <c r="J74" s="287">
        <v>27</v>
      </c>
      <c r="K74" s="287">
        <v>118</v>
      </c>
      <c r="L74" s="287">
        <f t="shared" si="34"/>
        <v>74</v>
      </c>
      <c r="M74" s="287">
        <v>-98</v>
      </c>
      <c r="N74" s="287">
        <f>G74-L74+M74</f>
        <v>80</v>
      </c>
      <c r="O74" s="30"/>
      <c r="P74" s="287">
        <f>N74-O74</f>
        <v>80</v>
      </c>
    </row>
    <row r="75" spans="1:16" s="262" customFormat="1" ht="25.5" customHeight="1">
      <c r="A75" s="290">
        <v>615</v>
      </c>
      <c r="B75" s="281" t="s">
        <v>104</v>
      </c>
      <c r="C75" s="281">
        <f>SUM(C76:C85)</f>
        <v>79761</v>
      </c>
      <c r="D75" s="281">
        <f>SUM(D76:D85)</f>
        <v>99701</v>
      </c>
      <c r="E75" s="283">
        <f>SUM(E76:E85)</f>
        <v>4247</v>
      </c>
      <c r="F75" s="283">
        <f aca="true" t="shared" si="51" ref="F75:O75">SUM(F76:F85)</f>
        <v>93</v>
      </c>
      <c r="G75" s="283">
        <f t="shared" si="51"/>
        <v>4340</v>
      </c>
      <c r="H75" s="283">
        <f t="shared" si="51"/>
        <v>775</v>
      </c>
      <c r="I75" s="283">
        <f t="shared" si="51"/>
        <v>2776</v>
      </c>
      <c r="J75" s="283">
        <f t="shared" si="51"/>
        <v>286</v>
      </c>
      <c r="K75" s="283">
        <f t="shared" si="51"/>
        <v>2133</v>
      </c>
      <c r="L75" s="283">
        <f t="shared" si="51"/>
        <v>1132</v>
      </c>
      <c r="M75" s="283">
        <f aca="true" t="shared" si="52" ref="M75:P75">SUM(M76:M85)</f>
        <v>-798</v>
      </c>
      <c r="N75" s="283">
        <f t="shared" si="52"/>
        <v>2410</v>
      </c>
      <c r="O75" s="283">
        <f t="shared" si="52"/>
        <v>0</v>
      </c>
      <c r="P75" s="283">
        <f t="shared" si="52"/>
        <v>2410</v>
      </c>
    </row>
    <row r="76" spans="1:16" s="260" customFormat="1" ht="25.5" customHeight="1">
      <c r="A76" s="291">
        <v>615001</v>
      </c>
      <c r="B76" s="286" t="s">
        <v>105</v>
      </c>
      <c r="C76" s="286">
        <f>'目标人群测算表1'!L98</f>
        <v>4038</v>
      </c>
      <c r="D76" s="286">
        <f>'目标人群测算表1'!I98</f>
        <v>5047</v>
      </c>
      <c r="E76" s="287">
        <v>214</v>
      </c>
      <c r="F76" s="287">
        <v>12</v>
      </c>
      <c r="G76" s="287">
        <f>F76+E76</f>
        <v>226</v>
      </c>
      <c r="H76" s="287">
        <v>31</v>
      </c>
      <c r="I76" s="287">
        <v>34</v>
      </c>
      <c r="J76" s="287">
        <v>1</v>
      </c>
      <c r="K76" s="287">
        <v>32</v>
      </c>
      <c r="L76" s="287">
        <f t="shared" si="34"/>
        <v>32</v>
      </c>
      <c r="M76" s="287">
        <v>-379</v>
      </c>
      <c r="N76" s="287">
        <f aca="true" t="shared" si="53" ref="N76:N85">G76-L76+M76</f>
        <v>-185</v>
      </c>
      <c r="O76" s="30"/>
      <c r="P76" s="287">
        <f aca="true" t="shared" si="54" ref="P76:P85">N76-O76</f>
        <v>-185</v>
      </c>
    </row>
    <row r="77" spans="1:16" s="260" customFormat="1" ht="25.5" customHeight="1">
      <c r="A77" s="291">
        <v>615002</v>
      </c>
      <c r="B77" s="286" t="s">
        <v>106</v>
      </c>
      <c r="C77" s="286">
        <f>'目标人群测算表1'!L99</f>
        <v>6578</v>
      </c>
      <c r="D77" s="286">
        <f>'目标人群测算表1'!I99</f>
        <v>8222</v>
      </c>
      <c r="E77" s="287">
        <v>349</v>
      </c>
      <c r="F77" s="287">
        <f aca="true" t="shared" si="55" ref="F77:F85">9</f>
        <v>9</v>
      </c>
      <c r="G77" s="287">
        <f t="shared" si="50"/>
        <v>358</v>
      </c>
      <c r="H77" s="287">
        <v>66</v>
      </c>
      <c r="I77" s="287">
        <v>189</v>
      </c>
      <c r="J77" s="287">
        <v>38</v>
      </c>
      <c r="K77" s="287">
        <v>281</v>
      </c>
      <c r="L77" s="287">
        <f aca="true" t="shared" si="56" ref="L77:L108">H77+I77-J77-K77</f>
        <v>-64</v>
      </c>
      <c r="M77" s="287">
        <v>0</v>
      </c>
      <c r="N77" s="287">
        <f t="shared" si="53"/>
        <v>422</v>
      </c>
      <c r="O77" s="30"/>
      <c r="P77" s="287">
        <f t="shared" si="54"/>
        <v>422</v>
      </c>
    </row>
    <row r="78" spans="1:16" s="260" customFormat="1" ht="25.5" customHeight="1">
      <c r="A78" s="291">
        <v>615003</v>
      </c>
      <c r="B78" s="286" t="s">
        <v>107</v>
      </c>
      <c r="C78" s="286">
        <f>'目标人群测算表1'!L100</f>
        <v>11740</v>
      </c>
      <c r="D78" s="286">
        <f>'目标人群测算表1'!I100</f>
        <v>14675</v>
      </c>
      <c r="E78" s="287">
        <f t="shared" si="43"/>
        <v>625</v>
      </c>
      <c r="F78" s="287">
        <f t="shared" si="55"/>
        <v>9</v>
      </c>
      <c r="G78" s="287">
        <f aca="true" t="shared" si="57" ref="G76:G85">F78+E78</f>
        <v>634</v>
      </c>
      <c r="H78" s="287">
        <v>95</v>
      </c>
      <c r="I78" s="287">
        <v>234</v>
      </c>
      <c r="J78" s="287">
        <v>11</v>
      </c>
      <c r="K78" s="287">
        <v>331</v>
      </c>
      <c r="L78" s="287">
        <f t="shared" si="56"/>
        <v>-13</v>
      </c>
      <c r="M78" s="287">
        <v>0</v>
      </c>
      <c r="N78" s="287">
        <f t="shared" si="53"/>
        <v>647</v>
      </c>
      <c r="O78" s="30"/>
      <c r="P78" s="287">
        <f t="shared" si="54"/>
        <v>647</v>
      </c>
    </row>
    <row r="79" spans="1:16" s="260" customFormat="1" ht="25.5" customHeight="1">
      <c r="A79" s="291">
        <v>615004</v>
      </c>
      <c r="B79" s="286" t="s">
        <v>108</v>
      </c>
      <c r="C79" s="286">
        <f>'目标人群测算表1'!L101</f>
        <v>238</v>
      </c>
      <c r="D79" s="286">
        <f>'目标人群测算表1'!I101</f>
        <v>298</v>
      </c>
      <c r="E79" s="287">
        <f t="shared" si="43"/>
        <v>13</v>
      </c>
      <c r="F79" s="287">
        <f t="shared" si="55"/>
        <v>9</v>
      </c>
      <c r="G79" s="287">
        <f t="shared" si="57"/>
        <v>22</v>
      </c>
      <c r="H79" s="287">
        <v>4</v>
      </c>
      <c r="I79" s="287">
        <v>24</v>
      </c>
      <c r="J79" s="287">
        <v>2</v>
      </c>
      <c r="K79" s="287">
        <v>12</v>
      </c>
      <c r="L79" s="287">
        <f t="shared" si="56"/>
        <v>14</v>
      </c>
      <c r="M79" s="287">
        <v>0</v>
      </c>
      <c r="N79" s="287">
        <f t="shared" si="53"/>
        <v>8</v>
      </c>
      <c r="O79" s="30"/>
      <c r="P79" s="287">
        <f t="shared" si="54"/>
        <v>8</v>
      </c>
    </row>
    <row r="80" spans="1:16" s="260" customFormat="1" ht="25.5" customHeight="1">
      <c r="A80" s="291">
        <v>615005</v>
      </c>
      <c r="B80" s="286" t="s">
        <v>109</v>
      </c>
      <c r="C80" s="286">
        <f>'目标人群测算表1'!L102</f>
        <v>2471</v>
      </c>
      <c r="D80" s="286">
        <f>'目标人群测算表1'!I102</f>
        <v>3089</v>
      </c>
      <c r="E80" s="287">
        <f t="shared" si="43"/>
        <v>132</v>
      </c>
      <c r="F80" s="287">
        <f t="shared" si="55"/>
        <v>9</v>
      </c>
      <c r="G80" s="287">
        <f t="shared" si="57"/>
        <v>141</v>
      </c>
      <c r="H80" s="287">
        <v>27</v>
      </c>
      <c r="I80" s="287">
        <v>107</v>
      </c>
      <c r="J80" s="287">
        <v>4</v>
      </c>
      <c r="K80" s="287">
        <v>76</v>
      </c>
      <c r="L80" s="287">
        <f t="shared" si="56"/>
        <v>54</v>
      </c>
      <c r="M80" s="287">
        <v>0</v>
      </c>
      <c r="N80" s="287">
        <f t="shared" si="53"/>
        <v>87</v>
      </c>
      <c r="O80" s="30"/>
      <c r="P80" s="287">
        <f t="shared" si="54"/>
        <v>87</v>
      </c>
    </row>
    <row r="81" spans="1:16" s="260" customFormat="1" ht="25.5" customHeight="1">
      <c r="A81" s="291">
        <v>615006</v>
      </c>
      <c r="B81" s="286" t="s">
        <v>110</v>
      </c>
      <c r="C81" s="286">
        <f>'目标人群测算表1'!L103</f>
        <v>16188</v>
      </c>
      <c r="D81" s="286">
        <f>'目标人群测算表1'!I103</f>
        <v>20235</v>
      </c>
      <c r="E81" s="287">
        <f t="shared" si="43"/>
        <v>862</v>
      </c>
      <c r="F81" s="287">
        <f t="shared" si="55"/>
        <v>9</v>
      </c>
      <c r="G81" s="287">
        <f t="shared" si="57"/>
        <v>871</v>
      </c>
      <c r="H81" s="287">
        <v>156</v>
      </c>
      <c r="I81" s="287">
        <v>743</v>
      </c>
      <c r="J81" s="287">
        <v>85</v>
      </c>
      <c r="K81" s="287">
        <v>337</v>
      </c>
      <c r="L81" s="287">
        <f t="shared" si="56"/>
        <v>477</v>
      </c>
      <c r="M81" s="287">
        <v>-406</v>
      </c>
      <c r="N81" s="287">
        <f t="shared" si="53"/>
        <v>-12</v>
      </c>
      <c r="O81" s="30"/>
      <c r="P81" s="287">
        <f t="shared" si="54"/>
        <v>-12</v>
      </c>
    </row>
    <row r="82" spans="1:16" s="260" customFormat="1" ht="25.5" customHeight="1">
      <c r="A82" s="291">
        <v>615007</v>
      </c>
      <c r="B82" s="286" t="s">
        <v>111</v>
      </c>
      <c r="C82" s="286">
        <f>'目标人群测算表1'!L104</f>
        <v>13347</v>
      </c>
      <c r="D82" s="286">
        <f>'目标人群测算表1'!I104</f>
        <v>16684</v>
      </c>
      <c r="E82" s="287">
        <f t="shared" si="43"/>
        <v>711</v>
      </c>
      <c r="F82" s="287">
        <f t="shared" si="55"/>
        <v>9</v>
      </c>
      <c r="G82" s="287">
        <f t="shared" si="57"/>
        <v>720</v>
      </c>
      <c r="H82" s="287">
        <v>146</v>
      </c>
      <c r="I82" s="287">
        <v>681</v>
      </c>
      <c r="J82" s="287">
        <v>51</v>
      </c>
      <c r="K82" s="287">
        <v>371</v>
      </c>
      <c r="L82" s="287">
        <f t="shared" si="56"/>
        <v>405</v>
      </c>
      <c r="M82" s="287">
        <v>0</v>
      </c>
      <c r="N82" s="287">
        <f t="shared" si="53"/>
        <v>315</v>
      </c>
      <c r="O82" s="30"/>
      <c r="P82" s="287">
        <f t="shared" si="54"/>
        <v>315</v>
      </c>
    </row>
    <row r="83" spans="1:16" s="260" customFormat="1" ht="25.5" customHeight="1">
      <c r="A83" s="291">
        <v>615008</v>
      </c>
      <c r="B83" s="286" t="s">
        <v>112</v>
      </c>
      <c r="C83" s="286">
        <f>'目标人群测算表1'!L105</f>
        <v>10564</v>
      </c>
      <c r="D83" s="286">
        <f>'目标人群测算表1'!I105</f>
        <v>13205</v>
      </c>
      <c r="E83" s="287">
        <f t="shared" si="43"/>
        <v>563</v>
      </c>
      <c r="F83" s="287">
        <f t="shared" si="55"/>
        <v>9</v>
      </c>
      <c r="G83" s="287">
        <f t="shared" si="57"/>
        <v>572</v>
      </c>
      <c r="H83" s="287">
        <v>99</v>
      </c>
      <c r="I83" s="287">
        <v>248</v>
      </c>
      <c r="J83" s="287">
        <v>67</v>
      </c>
      <c r="K83" s="287">
        <v>317</v>
      </c>
      <c r="L83" s="287">
        <f t="shared" si="56"/>
        <v>-37</v>
      </c>
      <c r="M83" s="287">
        <v>0</v>
      </c>
      <c r="N83" s="287">
        <f t="shared" si="53"/>
        <v>609</v>
      </c>
      <c r="O83" s="30"/>
      <c r="P83" s="287">
        <f t="shared" si="54"/>
        <v>609</v>
      </c>
    </row>
    <row r="84" spans="1:16" s="260" customFormat="1" ht="25.5" customHeight="1">
      <c r="A84" s="291">
        <v>615009</v>
      </c>
      <c r="B84" s="286" t="s">
        <v>113</v>
      </c>
      <c r="C84" s="286">
        <f>'目标人群测算表1'!L106</f>
        <v>7112</v>
      </c>
      <c r="D84" s="286">
        <f>'目标人群测算表1'!I106</f>
        <v>8890</v>
      </c>
      <c r="E84" s="287">
        <f t="shared" si="43"/>
        <v>379</v>
      </c>
      <c r="F84" s="287">
        <f t="shared" si="55"/>
        <v>9</v>
      </c>
      <c r="G84" s="287">
        <f t="shared" si="57"/>
        <v>388</v>
      </c>
      <c r="H84" s="287">
        <v>79</v>
      </c>
      <c r="I84" s="287">
        <v>282</v>
      </c>
      <c r="J84" s="287">
        <v>10</v>
      </c>
      <c r="K84" s="287">
        <v>204</v>
      </c>
      <c r="L84" s="287">
        <f t="shared" si="56"/>
        <v>147</v>
      </c>
      <c r="M84" s="287">
        <v>-13</v>
      </c>
      <c r="N84" s="287">
        <f t="shared" si="53"/>
        <v>228</v>
      </c>
      <c r="O84" s="30"/>
      <c r="P84" s="287">
        <f t="shared" si="54"/>
        <v>228</v>
      </c>
    </row>
    <row r="85" spans="1:16" s="260" customFormat="1" ht="25.5" customHeight="1">
      <c r="A85" s="291">
        <v>615010</v>
      </c>
      <c r="B85" s="286" t="s">
        <v>114</v>
      </c>
      <c r="C85" s="286">
        <f>'目标人群测算表1'!L107</f>
        <v>7485</v>
      </c>
      <c r="D85" s="286">
        <f>'目标人群测算表1'!I107</f>
        <v>9356</v>
      </c>
      <c r="E85" s="287">
        <f t="shared" si="43"/>
        <v>399</v>
      </c>
      <c r="F85" s="287">
        <f t="shared" si="55"/>
        <v>9</v>
      </c>
      <c r="G85" s="287">
        <f t="shared" si="57"/>
        <v>408</v>
      </c>
      <c r="H85" s="287">
        <v>72</v>
      </c>
      <c r="I85" s="287">
        <v>234</v>
      </c>
      <c r="J85" s="287">
        <v>17</v>
      </c>
      <c r="K85" s="287">
        <v>172</v>
      </c>
      <c r="L85" s="287">
        <f t="shared" si="56"/>
        <v>117</v>
      </c>
      <c r="M85" s="287">
        <v>0</v>
      </c>
      <c r="N85" s="287">
        <f t="shared" si="53"/>
        <v>291</v>
      </c>
      <c r="O85" s="30"/>
      <c r="P85" s="287">
        <f t="shared" si="54"/>
        <v>291</v>
      </c>
    </row>
    <row r="86" spans="1:16" s="262" customFormat="1" ht="25.5" customHeight="1">
      <c r="A86" s="290">
        <v>616</v>
      </c>
      <c r="B86" s="281" t="s">
        <v>115</v>
      </c>
      <c r="C86" s="281">
        <f>SUM(C87:C92)</f>
        <v>59317</v>
      </c>
      <c r="D86" s="281">
        <f>SUM(D87:D92)</f>
        <v>74146</v>
      </c>
      <c r="E86" s="283">
        <f>SUM(E87:E92)</f>
        <v>3159</v>
      </c>
      <c r="F86" s="283">
        <f aca="true" t="shared" si="58" ref="F86:O86">SUM(F87:F92)</f>
        <v>57</v>
      </c>
      <c r="G86" s="283">
        <f t="shared" si="58"/>
        <v>3216</v>
      </c>
      <c r="H86" s="283">
        <f t="shared" si="58"/>
        <v>645</v>
      </c>
      <c r="I86" s="283">
        <f t="shared" si="58"/>
        <v>1583</v>
      </c>
      <c r="J86" s="283">
        <f t="shared" si="58"/>
        <v>637</v>
      </c>
      <c r="K86" s="283">
        <f t="shared" si="58"/>
        <v>2090</v>
      </c>
      <c r="L86" s="283">
        <f t="shared" si="58"/>
        <v>-499</v>
      </c>
      <c r="M86" s="283">
        <f aca="true" t="shared" si="59" ref="M86:P86">SUM(M87:M92)</f>
        <v>-1344</v>
      </c>
      <c r="N86" s="283">
        <f t="shared" si="59"/>
        <v>2371</v>
      </c>
      <c r="O86" s="283">
        <f t="shared" si="59"/>
        <v>0</v>
      </c>
      <c r="P86" s="283">
        <f t="shared" si="59"/>
        <v>2371</v>
      </c>
    </row>
    <row r="87" spans="1:16" s="260" customFormat="1" ht="25.5" customHeight="1">
      <c r="A87" s="291">
        <v>616001</v>
      </c>
      <c r="B87" s="286" t="s">
        <v>116</v>
      </c>
      <c r="C87" s="286">
        <f>'目标人群测算表1'!L109</f>
        <v>0</v>
      </c>
      <c r="D87" s="286">
        <f>'目标人群测算表1'!I109</f>
        <v>0</v>
      </c>
      <c r="E87" s="287">
        <f t="shared" si="43"/>
        <v>0</v>
      </c>
      <c r="F87" s="287">
        <v>12</v>
      </c>
      <c r="G87" s="287">
        <f aca="true" t="shared" si="60" ref="G87:G92">F87+E87</f>
        <v>12</v>
      </c>
      <c r="H87" s="287">
        <v>0</v>
      </c>
      <c r="I87" s="287">
        <v>0</v>
      </c>
      <c r="J87" s="287">
        <v>80</v>
      </c>
      <c r="K87" s="287">
        <v>0</v>
      </c>
      <c r="L87" s="287">
        <f t="shared" si="56"/>
        <v>-80</v>
      </c>
      <c r="M87" s="287">
        <v>-80</v>
      </c>
      <c r="N87" s="287">
        <f aca="true" t="shared" si="61" ref="N87:N92">G87-L87+M87</f>
        <v>12</v>
      </c>
      <c r="O87" s="30"/>
      <c r="P87" s="287">
        <f aca="true" t="shared" si="62" ref="P87:P92">N87-O87</f>
        <v>12</v>
      </c>
    </row>
    <row r="88" spans="1:16" s="260" customFormat="1" ht="25.5" customHeight="1">
      <c r="A88" s="291">
        <v>616002</v>
      </c>
      <c r="B88" s="286" t="s">
        <v>117</v>
      </c>
      <c r="C88" s="286">
        <f>'目标人群测算表1'!L110</f>
        <v>15099</v>
      </c>
      <c r="D88" s="286">
        <f>'目标人群测算表1'!I110</f>
        <v>18874</v>
      </c>
      <c r="E88" s="287">
        <f t="shared" si="43"/>
        <v>804</v>
      </c>
      <c r="F88" s="287">
        <f>9</f>
        <v>9</v>
      </c>
      <c r="G88" s="287">
        <f t="shared" si="60"/>
        <v>813</v>
      </c>
      <c r="H88" s="287">
        <v>130</v>
      </c>
      <c r="I88" s="287">
        <v>358</v>
      </c>
      <c r="J88" s="287">
        <v>190</v>
      </c>
      <c r="K88" s="287">
        <v>502</v>
      </c>
      <c r="L88" s="287">
        <f t="shared" si="56"/>
        <v>-204</v>
      </c>
      <c r="M88" s="287">
        <v>0</v>
      </c>
      <c r="N88" s="287">
        <f t="shared" si="61"/>
        <v>1017</v>
      </c>
      <c r="O88" s="30"/>
      <c r="P88" s="287">
        <f t="shared" si="62"/>
        <v>1017</v>
      </c>
    </row>
    <row r="89" spans="1:16" s="260" customFormat="1" ht="25.5" customHeight="1">
      <c r="A89" s="291">
        <v>616004</v>
      </c>
      <c r="B89" s="286" t="s">
        <v>118</v>
      </c>
      <c r="C89" s="286">
        <f>'目标人群测算表1'!L111</f>
        <v>9858</v>
      </c>
      <c r="D89" s="286">
        <f>'目标人群测算表1'!I111</f>
        <v>12323</v>
      </c>
      <c r="E89" s="287">
        <f t="shared" si="43"/>
        <v>525</v>
      </c>
      <c r="F89" s="287">
        <f>9</f>
        <v>9</v>
      </c>
      <c r="G89" s="287">
        <f t="shared" si="60"/>
        <v>534</v>
      </c>
      <c r="H89" s="287">
        <v>104</v>
      </c>
      <c r="I89" s="287">
        <v>293</v>
      </c>
      <c r="J89" s="287">
        <v>126</v>
      </c>
      <c r="K89" s="287">
        <v>340</v>
      </c>
      <c r="L89" s="287">
        <f t="shared" si="56"/>
        <v>-69</v>
      </c>
      <c r="M89" s="287">
        <v>-213</v>
      </c>
      <c r="N89" s="287">
        <f t="shared" si="61"/>
        <v>390</v>
      </c>
      <c r="O89" s="30"/>
      <c r="P89" s="287">
        <f t="shared" si="62"/>
        <v>390</v>
      </c>
    </row>
    <row r="90" spans="1:16" s="260" customFormat="1" ht="25.5" customHeight="1">
      <c r="A90" s="291">
        <v>616005</v>
      </c>
      <c r="B90" s="286" t="s">
        <v>119</v>
      </c>
      <c r="C90" s="286">
        <f>'目标人群测算表1'!L112</f>
        <v>10198</v>
      </c>
      <c r="D90" s="286">
        <f>'目标人群测算表1'!I112</f>
        <v>12747</v>
      </c>
      <c r="E90" s="287">
        <f t="shared" si="43"/>
        <v>543</v>
      </c>
      <c r="F90" s="287">
        <f>9</f>
        <v>9</v>
      </c>
      <c r="G90" s="287">
        <f t="shared" si="60"/>
        <v>552</v>
      </c>
      <c r="H90" s="287">
        <v>136</v>
      </c>
      <c r="I90" s="287">
        <v>351</v>
      </c>
      <c r="J90" s="287">
        <v>114</v>
      </c>
      <c r="K90" s="287">
        <v>461</v>
      </c>
      <c r="L90" s="287">
        <f t="shared" si="56"/>
        <v>-88</v>
      </c>
      <c r="M90" s="287">
        <v>-343</v>
      </c>
      <c r="N90" s="287">
        <f t="shared" si="61"/>
        <v>297</v>
      </c>
      <c r="O90" s="30"/>
      <c r="P90" s="287">
        <f t="shared" si="62"/>
        <v>297</v>
      </c>
    </row>
    <row r="91" spans="1:16" s="260" customFormat="1" ht="25.5" customHeight="1">
      <c r="A91" s="291">
        <v>616006</v>
      </c>
      <c r="B91" s="286" t="s">
        <v>120</v>
      </c>
      <c r="C91" s="286">
        <f>'目标人群测算表1'!L113</f>
        <v>12242</v>
      </c>
      <c r="D91" s="286">
        <f>'目标人群测算表1'!I113</f>
        <v>15302</v>
      </c>
      <c r="E91" s="287">
        <f t="shared" si="43"/>
        <v>652</v>
      </c>
      <c r="F91" s="287">
        <f>9</f>
        <v>9</v>
      </c>
      <c r="G91" s="287">
        <f t="shared" si="60"/>
        <v>661</v>
      </c>
      <c r="H91" s="287">
        <v>113</v>
      </c>
      <c r="I91" s="287">
        <v>227</v>
      </c>
      <c r="J91" s="287">
        <v>54</v>
      </c>
      <c r="K91" s="287">
        <v>364</v>
      </c>
      <c r="L91" s="287">
        <f t="shared" si="56"/>
        <v>-78</v>
      </c>
      <c r="M91" s="287">
        <v>-172</v>
      </c>
      <c r="N91" s="287">
        <f t="shared" si="61"/>
        <v>567</v>
      </c>
      <c r="O91" s="30"/>
      <c r="P91" s="287">
        <f t="shared" si="62"/>
        <v>567</v>
      </c>
    </row>
    <row r="92" spans="1:16" s="260" customFormat="1" ht="25.5" customHeight="1">
      <c r="A92" s="291">
        <v>616007</v>
      </c>
      <c r="B92" s="286" t="s">
        <v>121</v>
      </c>
      <c r="C92" s="286">
        <f>'目标人群测算表1'!L114</f>
        <v>11920</v>
      </c>
      <c r="D92" s="286">
        <f>'目标人群测算表1'!I114</f>
        <v>14900</v>
      </c>
      <c r="E92" s="287">
        <f t="shared" si="43"/>
        <v>635</v>
      </c>
      <c r="F92" s="287">
        <f>9</f>
        <v>9</v>
      </c>
      <c r="G92" s="287">
        <f t="shared" si="60"/>
        <v>644</v>
      </c>
      <c r="H92" s="287">
        <v>162</v>
      </c>
      <c r="I92" s="287">
        <v>354</v>
      </c>
      <c r="J92" s="287">
        <v>73</v>
      </c>
      <c r="K92" s="287">
        <v>423</v>
      </c>
      <c r="L92" s="287">
        <f t="shared" si="56"/>
        <v>20</v>
      </c>
      <c r="M92" s="287">
        <v>-536</v>
      </c>
      <c r="N92" s="287">
        <f t="shared" si="61"/>
        <v>88</v>
      </c>
      <c r="O92" s="30"/>
      <c r="P92" s="287">
        <f t="shared" si="62"/>
        <v>88</v>
      </c>
    </row>
    <row r="93" spans="1:16" s="262" customFormat="1" ht="25.5" customHeight="1">
      <c r="A93" s="290">
        <v>617</v>
      </c>
      <c r="B93" s="281" t="s">
        <v>122</v>
      </c>
      <c r="C93" s="281">
        <f>SUM(C94:C102)</f>
        <v>31262</v>
      </c>
      <c r="D93" s="281">
        <f>SUM(D94:D102)</f>
        <v>37264</v>
      </c>
      <c r="E93" s="283">
        <f>SUM(E94:E102)</f>
        <v>1641</v>
      </c>
      <c r="F93" s="283">
        <f aca="true" t="shared" si="63" ref="F93:O93">SUM(F94:F102)</f>
        <v>84</v>
      </c>
      <c r="G93" s="283">
        <f t="shared" si="63"/>
        <v>1725</v>
      </c>
      <c r="H93" s="283">
        <f t="shared" si="63"/>
        <v>311</v>
      </c>
      <c r="I93" s="283">
        <f t="shared" si="63"/>
        <v>784</v>
      </c>
      <c r="J93" s="283">
        <f t="shared" si="63"/>
        <v>215</v>
      </c>
      <c r="K93" s="283">
        <f t="shared" si="63"/>
        <v>966</v>
      </c>
      <c r="L93" s="283">
        <f t="shared" si="63"/>
        <v>-86</v>
      </c>
      <c r="M93" s="283">
        <f aca="true" t="shared" si="64" ref="M93:P93">SUM(M94:M102)</f>
        <v>-202</v>
      </c>
      <c r="N93" s="283">
        <f t="shared" si="64"/>
        <v>1609</v>
      </c>
      <c r="O93" s="283">
        <f t="shared" si="64"/>
        <v>0</v>
      </c>
      <c r="P93" s="283">
        <f t="shared" si="64"/>
        <v>1609</v>
      </c>
    </row>
    <row r="94" spans="1:16" s="260" customFormat="1" ht="25.5" customHeight="1">
      <c r="A94" s="291">
        <v>617001</v>
      </c>
      <c r="B94" s="286" t="s">
        <v>123</v>
      </c>
      <c r="C94" s="286">
        <f>'目标人群测算表1'!L116</f>
        <v>650</v>
      </c>
      <c r="D94" s="286">
        <f>'目标人群测算表1'!I116</f>
        <v>650</v>
      </c>
      <c r="E94" s="287">
        <f aca="true" t="shared" si="65" ref="E93:E124">ROUND((D94*130+C94*370)/10000,0)</f>
        <v>33</v>
      </c>
      <c r="F94" s="287">
        <v>12</v>
      </c>
      <c r="G94" s="287">
        <f aca="true" t="shared" si="66" ref="G94:G102">F94+E94</f>
        <v>45</v>
      </c>
      <c r="H94" s="287">
        <v>4</v>
      </c>
      <c r="I94" s="287">
        <v>14</v>
      </c>
      <c r="J94" s="287">
        <v>3</v>
      </c>
      <c r="K94" s="287">
        <v>27</v>
      </c>
      <c r="L94" s="287">
        <f t="shared" si="56"/>
        <v>-12</v>
      </c>
      <c r="M94" s="287">
        <v>0</v>
      </c>
      <c r="N94" s="287">
        <f aca="true" t="shared" si="67" ref="N94:N102">G94-L94+M94</f>
        <v>57</v>
      </c>
      <c r="O94" s="30"/>
      <c r="P94" s="287">
        <f aca="true" t="shared" si="68" ref="P94:P102">N94-O94</f>
        <v>57</v>
      </c>
    </row>
    <row r="95" spans="1:16" s="260" customFormat="1" ht="25.5" customHeight="1">
      <c r="A95" s="291">
        <v>617002</v>
      </c>
      <c r="B95" s="286" t="s">
        <v>124</v>
      </c>
      <c r="C95" s="286">
        <f>'目标人群测算表1'!L117</f>
        <v>8800</v>
      </c>
      <c r="D95" s="286">
        <f>'目标人群测算表1'!I117</f>
        <v>8800</v>
      </c>
      <c r="E95" s="287">
        <v>439</v>
      </c>
      <c r="F95" s="287">
        <f aca="true" t="shared" si="69" ref="F95:F100">9</f>
        <v>9</v>
      </c>
      <c r="G95" s="287">
        <f t="shared" si="66"/>
        <v>448</v>
      </c>
      <c r="H95" s="287">
        <v>33</v>
      </c>
      <c r="I95" s="287">
        <v>124</v>
      </c>
      <c r="J95" s="287">
        <v>13</v>
      </c>
      <c r="K95" s="287">
        <v>264</v>
      </c>
      <c r="L95" s="287">
        <f t="shared" si="56"/>
        <v>-120</v>
      </c>
      <c r="M95" s="287">
        <v>0</v>
      </c>
      <c r="N95" s="287">
        <f t="shared" si="67"/>
        <v>568</v>
      </c>
      <c r="O95" s="30"/>
      <c r="P95" s="287">
        <f t="shared" si="68"/>
        <v>568</v>
      </c>
    </row>
    <row r="96" spans="1:16" s="260" customFormat="1" ht="25.5" customHeight="1">
      <c r="A96" s="291">
        <v>617003</v>
      </c>
      <c r="B96" s="286" t="s">
        <v>125</v>
      </c>
      <c r="C96" s="286">
        <f>'目标人群测算表1'!L118</f>
        <v>500</v>
      </c>
      <c r="D96" s="286">
        <f>'目标人群测算表1'!I118</f>
        <v>500</v>
      </c>
      <c r="E96" s="287">
        <f t="shared" si="65"/>
        <v>25</v>
      </c>
      <c r="F96" s="287">
        <f t="shared" si="69"/>
        <v>9</v>
      </c>
      <c r="G96" s="287">
        <f t="shared" si="66"/>
        <v>34</v>
      </c>
      <c r="H96" s="287">
        <v>13</v>
      </c>
      <c r="I96" s="287">
        <v>34</v>
      </c>
      <c r="J96" s="287">
        <v>8</v>
      </c>
      <c r="K96" s="287">
        <v>20</v>
      </c>
      <c r="L96" s="287">
        <f t="shared" si="56"/>
        <v>19</v>
      </c>
      <c r="M96" s="287">
        <v>-8</v>
      </c>
      <c r="N96" s="287">
        <f t="shared" si="67"/>
        <v>7</v>
      </c>
      <c r="O96" s="30"/>
      <c r="P96" s="287">
        <f t="shared" si="68"/>
        <v>7</v>
      </c>
    </row>
    <row r="97" spans="1:16" s="260" customFormat="1" ht="25.5" customHeight="1">
      <c r="A97" s="291">
        <v>617004</v>
      </c>
      <c r="B97" s="286" t="s">
        <v>126</v>
      </c>
      <c r="C97" s="286">
        <f>'目标人群测算表1'!L119</f>
        <v>3673</v>
      </c>
      <c r="D97" s="286">
        <f>'目标人群测算表1'!I119</f>
        <v>4591</v>
      </c>
      <c r="E97" s="287">
        <f t="shared" si="65"/>
        <v>196</v>
      </c>
      <c r="F97" s="287">
        <f t="shared" si="69"/>
        <v>9</v>
      </c>
      <c r="G97" s="287">
        <f t="shared" si="66"/>
        <v>205</v>
      </c>
      <c r="H97" s="287">
        <v>31</v>
      </c>
      <c r="I97" s="287">
        <v>72</v>
      </c>
      <c r="J97" s="287">
        <v>25</v>
      </c>
      <c r="K97" s="287">
        <v>91</v>
      </c>
      <c r="L97" s="287">
        <f t="shared" si="56"/>
        <v>-13</v>
      </c>
      <c r="M97" s="287">
        <v>0</v>
      </c>
      <c r="N97" s="287">
        <f t="shared" si="67"/>
        <v>218</v>
      </c>
      <c r="O97" s="30"/>
      <c r="P97" s="287">
        <f t="shared" si="68"/>
        <v>218</v>
      </c>
    </row>
    <row r="98" spans="1:16" s="260" customFormat="1" ht="25.5" customHeight="1">
      <c r="A98" s="291">
        <v>617005</v>
      </c>
      <c r="B98" s="286" t="s">
        <v>127</v>
      </c>
      <c r="C98" s="286">
        <f>'目标人群测算表1'!L120</f>
        <v>4320</v>
      </c>
      <c r="D98" s="286">
        <f>'目标人群测算表1'!I120</f>
        <v>5400</v>
      </c>
      <c r="E98" s="287">
        <f t="shared" si="65"/>
        <v>230</v>
      </c>
      <c r="F98" s="287">
        <f t="shared" si="69"/>
        <v>9</v>
      </c>
      <c r="G98" s="287">
        <f t="shared" si="66"/>
        <v>239</v>
      </c>
      <c r="H98" s="287">
        <v>50</v>
      </c>
      <c r="I98" s="287">
        <v>124</v>
      </c>
      <c r="J98" s="287">
        <v>38</v>
      </c>
      <c r="K98" s="287">
        <v>147</v>
      </c>
      <c r="L98" s="287">
        <f t="shared" si="56"/>
        <v>-11</v>
      </c>
      <c r="M98" s="287">
        <v>-94</v>
      </c>
      <c r="N98" s="287">
        <f t="shared" si="67"/>
        <v>156</v>
      </c>
      <c r="O98" s="30"/>
      <c r="P98" s="287">
        <f t="shared" si="68"/>
        <v>156</v>
      </c>
    </row>
    <row r="99" spans="1:16" s="260" customFormat="1" ht="25.5" customHeight="1">
      <c r="A99" s="291">
        <v>617006</v>
      </c>
      <c r="B99" s="286" t="s">
        <v>128</v>
      </c>
      <c r="C99" s="286">
        <f>'目标人群测算表1'!L121</f>
        <v>1800</v>
      </c>
      <c r="D99" s="286">
        <f>'目标人群测算表1'!I121</f>
        <v>2500</v>
      </c>
      <c r="E99" s="287">
        <f t="shared" si="65"/>
        <v>99</v>
      </c>
      <c r="F99" s="287">
        <f t="shared" si="69"/>
        <v>9</v>
      </c>
      <c r="G99" s="287">
        <f t="shared" si="66"/>
        <v>108</v>
      </c>
      <c r="H99" s="287">
        <v>37</v>
      </c>
      <c r="I99" s="287">
        <v>96</v>
      </c>
      <c r="J99" s="287">
        <v>33</v>
      </c>
      <c r="K99" s="287">
        <v>88</v>
      </c>
      <c r="L99" s="287">
        <f t="shared" si="56"/>
        <v>12</v>
      </c>
      <c r="M99" s="287">
        <v>0</v>
      </c>
      <c r="N99" s="287">
        <f t="shared" si="67"/>
        <v>96</v>
      </c>
      <c r="O99" s="30"/>
      <c r="P99" s="287">
        <f t="shared" si="68"/>
        <v>96</v>
      </c>
    </row>
    <row r="100" spans="1:16" s="260" customFormat="1" ht="25.5" customHeight="1">
      <c r="A100" s="291">
        <v>617007</v>
      </c>
      <c r="B100" s="286" t="s">
        <v>129</v>
      </c>
      <c r="C100" s="286">
        <f>'目标人群测算表1'!L122</f>
        <v>1801</v>
      </c>
      <c r="D100" s="286">
        <f>'目标人群测算表1'!I122</f>
        <v>2251</v>
      </c>
      <c r="E100" s="287">
        <f t="shared" si="65"/>
        <v>96</v>
      </c>
      <c r="F100" s="287">
        <f t="shared" si="69"/>
        <v>9</v>
      </c>
      <c r="G100" s="287">
        <f t="shared" si="66"/>
        <v>105</v>
      </c>
      <c r="H100" s="287">
        <v>29</v>
      </c>
      <c r="I100" s="287">
        <v>55</v>
      </c>
      <c r="J100" s="287">
        <v>18</v>
      </c>
      <c r="K100" s="287">
        <v>73</v>
      </c>
      <c r="L100" s="287">
        <f t="shared" si="56"/>
        <v>-7</v>
      </c>
      <c r="M100" s="287">
        <v>-27</v>
      </c>
      <c r="N100" s="287">
        <f t="shared" si="67"/>
        <v>85</v>
      </c>
      <c r="O100" s="30"/>
      <c r="P100" s="287">
        <f t="shared" si="68"/>
        <v>85</v>
      </c>
    </row>
    <row r="101" spans="1:16" s="260" customFormat="1" ht="25.5" customHeight="1">
      <c r="A101" s="291">
        <v>617008</v>
      </c>
      <c r="B101" s="286" t="s">
        <v>130</v>
      </c>
      <c r="C101" s="286">
        <f>'目标人群测算表1'!L123</f>
        <v>1500</v>
      </c>
      <c r="D101" s="286">
        <f>'目标人群测算表1'!I123</f>
        <v>2300</v>
      </c>
      <c r="E101" s="287">
        <f t="shared" si="65"/>
        <v>85</v>
      </c>
      <c r="F101" s="287">
        <f aca="true" t="shared" si="70" ref="F101:F112">9</f>
        <v>9</v>
      </c>
      <c r="G101" s="287">
        <f t="shared" si="66"/>
        <v>94</v>
      </c>
      <c r="H101" s="287">
        <v>34</v>
      </c>
      <c r="I101" s="287">
        <v>65</v>
      </c>
      <c r="J101" s="287">
        <v>17</v>
      </c>
      <c r="K101" s="287">
        <v>54</v>
      </c>
      <c r="L101" s="287">
        <f t="shared" si="56"/>
        <v>28</v>
      </c>
      <c r="M101" s="287">
        <v>-44</v>
      </c>
      <c r="N101" s="287">
        <f t="shared" si="67"/>
        <v>22</v>
      </c>
      <c r="O101" s="30"/>
      <c r="P101" s="287">
        <f t="shared" si="68"/>
        <v>22</v>
      </c>
    </row>
    <row r="102" spans="1:16" s="260" customFormat="1" ht="25.5" customHeight="1">
      <c r="A102" s="291">
        <v>617009</v>
      </c>
      <c r="B102" s="286" t="s">
        <v>131</v>
      </c>
      <c r="C102" s="286">
        <f>'目标人群测算表1'!L124</f>
        <v>8218</v>
      </c>
      <c r="D102" s="286">
        <f>'目标人群测算表1'!I124</f>
        <v>10272</v>
      </c>
      <c r="E102" s="287">
        <f t="shared" si="65"/>
        <v>438</v>
      </c>
      <c r="F102" s="287">
        <f t="shared" si="70"/>
        <v>9</v>
      </c>
      <c r="G102" s="287">
        <f t="shared" si="66"/>
        <v>447</v>
      </c>
      <c r="H102" s="287">
        <v>80</v>
      </c>
      <c r="I102" s="287">
        <v>200</v>
      </c>
      <c r="J102" s="287">
        <v>60</v>
      </c>
      <c r="K102" s="287">
        <v>202</v>
      </c>
      <c r="L102" s="287">
        <f t="shared" si="56"/>
        <v>18</v>
      </c>
      <c r="M102" s="287">
        <v>-29</v>
      </c>
      <c r="N102" s="287">
        <f t="shared" si="67"/>
        <v>400</v>
      </c>
      <c r="O102" s="30"/>
      <c r="P102" s="287">
        <f t="shared" si="68"/>
        <v>400</v>
      </c>
    </row>
    <row r="103" spans="1:16" s="262" customFormat="1" ht="25.5" customHeight="1">
      <c r="A103" s="290">
        <v>618</v>
      </c>
      <c r="B103" s="281" t="s">
        <v>132</v>
      </c>
      <c r="C103" s="281">
        <f>SUM(C104:C112)</f>
        <v>26901</v>
      </c>
      <c r="D103" s="281">
        <f>SUM(D104:D112)</f>
        <v>33628</v>
      </c>
      <c r="E103" s="283">
        <f>SUM(E104:E112)</f>
        <v>1433</v>
      </c>
      <c r="F103" s="283">
        <f aca="true" t="shared" si="71" ref="F103:O103">SUM(F104:F112)</f>
        <v>84</v>
      </c>
      <c r="G103" s="283">
        <f t="shared" si="71"/>
        <v>1517</v>
      </c>
      <c r="H103" s="283">
        <f t="shared" si="71"/>
        <v>352</v>
      </c>
      <c r="I103" s="283">
        <f t="shared" si="71"/>
        <v>1226</v>
      </c>
      <c r="J103" s="283">
        <f t="shared" si="71"/>
        <v>358</v>
      </c>
      <c r="K103" s="283">
        <f t="shared" si="71"/>
        <v>826</v>
      </c>
      <c r="L103" s="283">
        <f t="shared" si="71"/>
        <v>394</v>
      </c>
      <c r="M103" s="283">
        <f aca="true" t="shared" si="72" ref="M103:P103">SUM(M104:M112)</f>
        <v>-333</v>
      </c>
      <c r="N103" s="283">
        <f t="shared" si="72"/>
        <v>790</v>
      </c>
      <c r="O103" s="283">
        <f t="shared" si="72"/>
        <v>0</v>
      </c>
      <c r="P103" s="283">
        <f t="shared" si="72"/>
        <v>790</v>
      </c>
    </row>
    <row r="104" spans="1:16" s="260" customFormat="1" ht="25.5" customHeight="1">
      <c r="A104" s="291">
        <v>618001</v>
      </c>
      <c r="B104" s="286" t="s">
        <v>133</v>
      </c>
      <c r="C104" s="286">
        <f>'目标人群测算表1'!L126</f>
        <v>0</v>
      </c>
      <c r="D104" s="286">
        <f>'目标人群测算表1'!I126</f>
        <v>0</v>
      </c>
      <c r="E104" s="287">
        <f t="shared" si="65"/>
        <v>0</v>
      </c>
      <c r="F104" s="287">
        <v>12</v>
      </c>
      <c r="G104" s="287">
        <f aca="true" t="shared" si="73" ref="G104:G112">F104+E104</f>
        <v>12</v>
      </c>
      <c r="H104" s="287">
        <v>0</v>
      </c>
      <c r="I104" s="287">
        <v>0</v>
      </c>
      <c r="J104" s="287">
        <v>0</v>
      </c>
      <c r="K104" s="287">
        <v>0</v>
      </c>
      <c r="L104" s="287">
        <f t="shared" si="56"/>
        <v>0</v>
      </c>
      <c r="M104" s="287">
        <v>0</v>
      </c>
      <c r="N104" s="287">
        <f aca="true" t="shared" si="74" ref="N104:N112">G104-L104+M104</f>
        <v>12</v>
      </c>
      <c r="O104" s="30"/>
      <c r="P104" s="287">
        <f aca="true" t="shared" si="75" ref="P104:P112">N104-O104</f>
        <v>12</v>
      </c>
    </row>
    <row r="105" spans="1:16" s="260" customFormat="1" ht="25.5" customHeight="1">
      <c r="A105" s="291">
        <v>618002</v>
      </c>
      <c r="B105" s="286" t="s">
        <v>134</v>
      </c>
      <c r="C105" s="286">
        <f>'目标人群测算表1'!L127</f>
        <v>9739</v>
      </c>
      <c r="D105" s="286">
        <f>'目标人群测算表1'!I127</f>
        <v>12174</v>
      </c>
      <c r="E105" s="287">
        <v>520</v>
      </c>
      <c r="F105" s="287">
        <f t="shared" si="70"/>
        <v>9</v>
      </c>
      <c r="G105" s="287">
        <f t="shared" si="73"/>
        <v>529</v>
      </c>
      <c r="H105" s="287">
        <v>71</v>
      </c>
      <c r="I105" s="287">
        <v>320</v>
      </c>
      <c r="J105" s="287">
        <v>107</v>
      </c>
      <c r="K105" s="287">
        <v>132</v>
      </c>
      <c r="L105" s="287">
        <f t="shared" si="56"/>
        <v>152</v>
      </c>
      <c r="M105" s="287">
        <v>0</v>
      </c>
      <c r="N105" s="287">
        <f t="shared" si="74"/>
        <v>377</v>
      </c>
      <c r="O105" s="30"/>
      <c r="P105" s="287">
        <f t="shared" si="75"/>
        <v>377</v>
      </c>
    </row>
    <row r="106" spans="1:16" s="260" customFormat="1" ht="25.5" customHeight="1">
      <c r="A106" s="291">
        <v>618003</v>
      </c>
      <c r="B106" s="286" t="s">
        <v>135</v>
      </c>
      <c r="C106" s="286">
        <f>'目标人群测算表1'!L128</f>
        <v>4027</v>
      </c>
      <c r="D106" s="286">
        <f>'目标人群测算表1'!I128</f>
        <v>5034</v>
      </c>
      <c r="E106" s="287">
        <f t="shared" si="65"/>
        <v>214</v>
      </c>
      <c r="F106" s="287">
        <f t="shared" si="70"/>
        <v>9</v>
      </c>
      <c r="G106" s="287">
        <f t="shared" si="73"/>
        <v>223</v>
      </c>
      <c r="H106" s="287">
        <v>66</v>
      </c>
      <c r="I106" s="287">
        <v>141</v>
      </c>
      <c r="J106" s="287">
        <v>32</v>
      </c>
      <c r="K106" s="287">
        <v>112</v>
      </c>
      <c r="L106" s="287">
        <f t="shared" si="56"/>
        <v>63</v>
      </c>
      <c r="M106" s="287">
        <v>-179</v>
      </c>
      <c r="N106" s="287">
        <f t="shared" si="74"/>
        <v>-19</v>
      </c>
      <c r="O106" s="30"/>
      <c r="P106" s="287">
        <f t="shared" si="75"/>
        <v>-19</v>
      </c>
    </row>
    <row r="107" spans="1:16" s="260" customFormat="1" ht="25.5" customHeight="1">
      <c r="A107" s="291">
        <v>618004</v>
      </c>
      <c r="B107" s="286" t="s">
        <v>136</v>
      </c>
      <c r="C107" s="286">
        <f>'目标人群测算表1'!L129</f>
        <v>7022</v>
      </c>
      <c r="D107" s="286">
        <f>'目标人群测算表1'!I129</f>
        <v>8778</v>
      </c>
      <c r="E107" s="287">
        <f t="shared" si="65"/>
        <v>374</v>
      </c>
      <c r="F107" s="287">
        <f t="shared" si="70"/>
        <v>9</v>
      </c>
      <c r="G107" s="287">
        <f t="shared" si="73"/>
        <v>383</v>
      </c>
      <c r="H107" s="287">
        <v>70</v>
      </c>
      <c r="I107" s="287">
        <v>275</v>
      </c>
      <c r="J107" s="287">
        <v>114</v>
      </c>
      <c r="K107" s="287">
        <v>298</v>
      </c>
      <c r="L107" s="287">
        <f t="shared" si="56"/>
        <v>-67</v>
      </c>
      <c r="M107" s="287">
        <v>0</v>
      </c>
      <c r="N107" s="287">
        <f t="shared" si="74"/>
        <v>450</v>
      </c>
      <c r="O107" s="30"/>
      <c r="P107" s="287">
        <f t="shared" si="75"/>
        <v>450</v>
      </c>
    </row>
    <row r="108" spans="1:16" s="260" customFormat="1" ht="25.5" customHeight="1">
      <c r="A108" s="291">
        <v>618005</v>
      </c>
      <c r="B108" s="286" t="s">
        <v>137</v>
      </c>
      <c r="C108" s="286">
        <f>'目标人群测算表1'!L130</f>
        <v>1674</v>
      </c>
      <c r="D108" s="286">
        <f>'目标人群测算表1'!I130</f>
        <v>2093</v>
      </c>
      <c r="E108" s="287">
        <f t="shared" si="65"/>
        <v>89</v>
      </c>
      <c r="F108" s="287">
        <f t="shared" si="70"/>
        <v>9</v>
      </c>
      <c r="G108" s="287">
        <f t="shared" si="73"/>
        <v>98</v>
      </c>
      <c r="H108" s="287">
        <v>36</v>
      </c>
      <c r="I108" s="287">
        <v>193</v>
      </c>
      <c r="J108" s="287">
        <v>32</v>
      </c>
      <c r="K108" s="287">
        <v>89</v>
      </c>
      <c r="L108" s="287">
        <f t="shared" si="56"/>
        <v>108</v>
      </c>
      <c r="M108" s="287">
        <v>0</v>
      </c>
      <c r="N108" s="287">
        <f t="shared" si="74"/>
        <v>-10</v>
      </c>
      <c r="O108" s="30"/>
      <c r="P108" s="287">
        <f t="shared" si="75"/>
        <v>-10</v>
      </c>
    </row>
    <row r="109" spans="1:16" s="260" customFormat="1" ht="25.5" customHeight="1">
      <c r="A109" s="291">
        <v>618006</v>
      </c>
      <c r="B109" s="286" t="s">
        <v>138</v>
      </c>
      <c r="C109" s="286">
        <f>'目标人群测算表1'!L131</f>
        <v>1924</v>
      </c>
      <c r="D109" s="286">
        <f>'目标人群测算表1'!I131</f>
        <v>2405</v>
      </c>
      <c r="E109" s="287">
        <f t="shared" si="65"/>
        <v>102</v>
      </c>
      <c r="F109" s="287">
        <f t="shared" si="70"/>
        <v>9</v>
      </c>
      <c r="G109" s="287">
        <f t="shared" si="73"/>
        <v>111</v>
      </c>
      <c r="H109" s="287">
        <v>27</v>
      </c>
      <c r="I109" s="287">
        <v>76</v>
      </c>
      <c r="J109" s="287">
        <v>25</v>
      </c>
      <c r="K109" s="287">
        <v>67</v>
      </c>
      <c r="L109" s="287">
        <f aca="true" t="shared" si="76" ref="L109:L131">H109+I109-J109-K109</f>
        <v>11</v>
      </c>
      <c r="M109" s="287">
        <v>0</v>
      </c>
      <c r="N109" s="287">
        <f t="shared" si="74"/>
        <v>100</v>
      </c>
      <c r="O109" s="30"/>
      <c r="P109" s="287">
        <f t="shared" si="75"/>
        <v>100</v>
      </c>
    </row>
    <row r="110" spans="1:16" s="260" customFormat="1" ht="25.5" customHeight="1">
      <c r="A110" s="291">
        <v>618007</v>
      </c>
      <c r="B110" s="286" t="s">
        <v>139</v>
      </c>
      <c r="C110" s="286">
        <f>'目标人群测算表1'!L132</f>
        <v>559</v>
      </c>
      <c r="D110" s="286">
        <f>'目标人群测算表1'!I132</f>
        <v>699</v>
      </c>
      <c r="E110" s="287">
        <f t="shared" si="65"/>
        <v>30</v>
      </c>
      <c r="F110" s="287">
        <f t="shared" si="70"/>
        <v>9</v>
      </c>
      <c r="G110" s="287">
        <f t="shared" si="73"/>
        <v>39</v>
      </c>
      <c r="H110" s="287">
        <v>58</v>
      </c>
      <c r="I110" s="287">
        <v>162</v>
      </c>
      <c r="J110" s="287">
        <v>24</v>
      </c>
      <c r="K110" s="287">
        <v>23</v>
      </c>
      <c r="L110" s="287">
        <f t="shared" si="76"/>
        <v>173</v>
      </c>
      <c r="M110" s="287">
        <v>-48</v>
      </c>
      <c r="N110" s="287">
        <f t="shared" si="74"/>
        <v>-182</v>
      </c>
      <c r="O110" s="30"/>
      <c r="P110" s="287">
        <f t="shared" si="75"/>
        <v>-182</v>
      </c>
    </row>
    <row r="111" spans="1:16" s="260" customFormat="1" ht="25.5" customHeight="1">
      <c r="A111" s="291">
        <v>618008</v>
      </c>
      <c r="B111" s="286" t="s">
        <v>140</v>
      </c>
      <c r="C111" s="286">
        <f>'目标人群测算表1'!L133</f>
        <v>918</v>
      </c>
      <c r="D111" s="286">
        <f>'目标人群测算表1'!I133</f>
        <v>1148</v>
      </c>
      <c r="E111" s="287">
        <f t="shared" si="65"/>
        <v>49</v>
      </c>
      <c r="F111" s="287">
        <f t="shared" si="70"/>
        <v>9</v>
      </c>
      <c r="G111" s="287">
        <f t="shared" si="73"/>
        <v>58</v>
      </c>
      <c r="H111" s="287">
        <v>9</v>
      </c>
      <c r="I111" s="287">
        <v>38</v>
      </c>
      <c r="J111" s="287">
        <v>9</v>
      </c>
      <c r="K111" s="287">
        <v>26</v>
      </c>
      <c r="L111" s="287">
        <f t="shared" si="76"/>
        <v>12</v>
      </c>
      <c r="M111" s="287">
        <v>-106</v>
      </c>
      <c r="N111" s="287">
        <f t="shared" si="74"/>
        <v>-60</v>
      </c>
      <c r="O111" s="30"/>
      <c r="P111" s="287">
        <f t="shared" si="75"/>
        <v>-60</v>
      </c>
    </row>
    <row r="112" spans="1:16" s="260" customFormat="1" ht="25.5" customHeight="1">
      <c r="A112" s="291">
        <v>618009</v>
      </c>
      <c r="B112" s="286" t="s">
        <v>141</v>
      </c>
      <c r="C112" s="286">
        <f>'目标人群测算表1'!L134</f>
        <v>1038</v>
      </c>
      <c r="D112" s="286">
        <f>'目标人群测算表1'!I134</f>
        <v>1297</v>
      </c>
      <c r="E112" s="287">
        <f t="shared" si="65"/>
        <v>55</v>
      </c>
      <c r="F112" s="287">
        <f t="shared" si="70"/>
        <v>9</v>
      </c>
      <c r="G112" s="287">
        <f t="shared" si="73"/>
        <v>64</v>
      </c>
      <c r="H112" s="287">
        <v>15</v>
      </c>
      <c r="I112" s="287">
        <v>21</v>
      </c>
      <c r="J112" s="287">
        <v>15</v>
      </c>
      <c r="K112" s="287">
        <v>79</v>
      </c>
      <c r="L112" s="287">
        <f t="shared" si="76"/>
        <v>-58</v>
      </c>
      <c r="M112" s="287">
        <v>0</v>
      </c>
      <c r="N112" s="287">
        <f t="shared" si="74"/>
        <v>122</v>
      </c>
      <c r="O112" s="30"/>
      <c r="P112" s="287">
        <f t="shared" si="75"/>
        <v>122</v>
      </c>
    </row>
    <row r="113" spans="1:16" s="262" customFormat="1" ht="25.5" customHeight="1">
      <c r="A113" s="290">
        <v>619</v>
      </c>
      <c r="B113" s="281" t="s">
        <v>142</v>
      </c>
      <c r="C113" s="281">
        <f>SUM(C114:C117)</f>
        <v>17123</v>
      </c>
      <c r="D113" s="281">
        <f>SUM(D114:D117)</f>
        <v>21404</v>
      </c>
      <c r="E113" s="283">
        <f>SUM(E114:E117)</f>
        <v>912</v>
      </c>
      <c r="F113" s="283">
        <f aca="true" t="shared" si="77" ref="F113:O113">SUM(F114:F117)</f>
        <v>39</v>
      </c>
      <c r="G113" s="283">
        <f t="shared" si="77"/>
        <v>951</v>
      </c>
      <c r="H113" s="283">
        <f t="shared" si="77"/>
        <v>202</v>
      </c>
      <c r="I113" s="283">
        <f t="shared" si="77"/>
        <v>671</v>
      </c>
      <c r="J113" s="283">
        <f t="shared" si="77"/>
        <v>0</v>
      </c>
      <c r="K113" s="283">
        <f t="shared" si="77"/>
        <v>398</v>
      </c>
      <c r="L113" s="283">
        <f t="shared" si="77"/>
        <v>475</v>
      </c>
      <c r="M113" s="283">
        <f aca="true" t="shared" si="78" ref="M113:P113">SUM(M114:M117)</f>
        <v>-1442</v>
      </c>
      <c r="N113" s="283">
        <f t="shared" si="78"/>
        <v>-966</v>
      </c>
      <c r="O113" s="283">
        <f t="shared" si="78"/>
        <v>0</v>
      </c>
      <c r="P113" s="283">
        <f t="shared" si="78"/>
        <v>-966</v>
      </c>
    </row>
    <row r="114" spans="1:16" s="260" customFormat="1" ht="25.5" customHeight="1">
      <c r="A114" s="291">
        <v>619001</v>
      </c>
      <c r="B114" s="286" t="s">
        <v>143</v>
      </c>
      <c r="C114" s="286">
        <f>'目标人群测算表1'!L136</f>
        <v>0</v>
      </c>
      <c r="D114" s="286">
        <f>'目标人群测算表1'!I136</f>
        <v>0</v>
      </c>
      <c r="E114" s="287">
        <f t="shared" si="65"/>
        <v>0</v>
      </c>
      <c r="F114" s="287">
        <v>12</v>
      </c>
      <c r="G114" s="287">
        <f aca="true" t="shared" si="79" ref="G114:G119">F114+E114</f>
        <v>12</v>
      </c>
      <c r="H114" s="287">
        <v>0</v>
      </c>
      <c r="I114" s="287">
        <v>0</v>
      </c>
      <c r="J114" s="287">
        <v>0</v>
      </c>
      <c r="K114" s="287">
        <v>0</v>
      </c>
      <c r="L114" s="287">
        <f t="shared" si="76"/>
        <v>0</v>
      </c>
      <c r="M114" s="287">
        <v>-131</v>
      </c>
      <c r="N114" s="287">
        <f>G114-L114+M114</f>
        <v>-119</v>
      </c>
      <c r="O114" s="30"/>
      <c r="P114" s="287">
        <f>N114-O114</f>
        <v>-119</v>
      </c>
    </row>
    <row r="115" spans="1:16" s="260" customFormat="1" ht="25.5" customHeight="1">
      <c r="A115" s="291">
        <v>619002</v>
      </c>
      <c r="B115" s="286" t="s">
        <v>144</v>
      </c>
      <c r="C115" s="286">
        <f>'目标人群测算表1'!L137</f>
        <v>10122</v>
      </c>
      <c r="D115" s="286">
        <f>'目标人群测算表1'!I137</f>
        <v>12653</v>
      </c>
      <c r="E115" s="287">
        <v>540</v>
      </c>
      <c r="F115" s="287">
        <f>9</f>
        <v>9</v>
      </c>
      <c r="G115" s="287">
        <f t="shared" si="79"/>
        <v>549</v>
      </c>
      <c r="H115" s="287">
        <v>102</v>
      </c>
      <c r="I115" s="287">
        <v>165</v>
      </c>
      <c r="J115" s="287">
        <v>0</v>
      </c>
      <c r="K115" s="287">
        <v>41</v>
      </c>
      <c r="L115" s="287">
        <f t="shared" si="76"/>
        <v>226</v>
      </c>
      <c r="M115" s="287">
        <v>-1111</v>
      </c>
      <c r="N115" s="287">
        <f>G115-L115+M115</f>
        <v>-788</v>
      </c>
      <c r="O115" s="30"/>
      <c r="P115" s="287">
        <f>N115-O115</f>
        <v>-788</v>
      </c>
    </row>
    <row r="116" spans="1:16" s="260" customFormat="1" ht="25.5" customHeight="1">
      <c r="A116" s="291">
        <v>619003</v>
      </c>
      <c r="B116" s="286" t="s">
        <v>145</v>
      </c>
      <c r="C116" s="286">
        <f>'目标人群测算表1'!L138</f>
        <v>4758</v>
      </c>
      <c r="D116" s="286">
        <f>'目标人群测算表1'!I138</f>
        <v>5947</v>
      </c>
      <c r="E116" s="287">
        <f t="shared" si="65"/>
        <v>253</v>
      </c>
      <c r="F116" s="287">
        <f>9</f>
        <v>9</v>
      </c>
      <c r="G116" s="287">
        <f t="shared" si="79"/>
        <v>262</v>
      </c>
      <c r="H116" s="287">
        <v>60</v>
      </c>
      <c r="I116" s="287">
        <v>286</v>
      </c>
      <c r="J116" s="287">
        <v>0</v>
      </c>
      <c r="K116" s="287">
        <v>116</v>
      </c>
      <c r="L116" s="287">
        <f t="shared" si="76"/>
        <v>230</v>
      </c>
      <c r="M116" s="287">
        <v>-200</v>
      </c>
      <c r="N116" s="287">
        <f>G116-L116+M116</f>
        <v>-168</v>
      </c>
      <c r="O116" s="30"/>
      <c r="P116" s="287">
        <f>N116-O116</f>
        <v>-168</v>
      </c>
    </row>
    <row r="117" spans="1:16" s="260" customFormat="1" ht="25.5" customHeight="1">
      <c r="A117" s="291">
        <v>619004</v>
      </c>
      <c r="B117" s="286" t="s">
        <v>146</v>
      </c>
      <c r="C117" s="286">
        <f>'目标人群测算表1'!L139</f>
        <v>2243</v>
      </c>
      <c r="D117" s="286">
        <f>'目标人群测算表1'!I139</f>
        <v>2804</v>
      </c>
      <c r="E117" s="287">
        <f t="shared" si="65"/>
        <v>119</v>
      </c>
      <c r="F117" s="287">
        <f>9</f>
        <v>9</v>
      </c>
      <c r="G117" s="287">
        <f t="shared" si="79"/>
        <v>128</v>
      </c>
      <c r="H117" s="287">
        <v>40</v>
      </c>
      <c r="I117" s="287">
        <v>220</v>
      </c>
      <c r="J117" s="287">
        <v>0</v>
      </c>
      <c r="K117" s="287">
        <v>241</v>
      </c>
      <c r="L117" s="287">
        <f t="shared" si="76"/>
        <v>19</v>
      </c>
      <c r="M117" s="287">
        <v>0</v>
      </c>
      <c r="N117" s="287">
        <f>G117-L117+M117</f>
        <v>109</v>
      </c>
      <c r="O117" s="30"/>
      <c r="P117" s="287">
        <f>N117-O117</f>
        <v>109</v>
      </c>
    </row>
    <row r="118" spans="1:16" s="262" customFormat="1" ht="25.5" customHeight="1">
      <c r="A118" s="290">
        <v>620</v>
      </c>
      <c r="B118" s="281" t="s">
        <v>147</v>
      </c>
      <c r="C118" s="281">
        <f>SUM(C119:C124)</f>
        <v>72590</v>
      </c>
      <c r="D118" s="281">
        <f>SUM(D119:D124)</f>
        <v>90737</v>
      </c>
      <c r="E118" s="283">
        <f>SUM(E119:E124)</f>
        <v>3865</v>
      </c>
      <c r="F118" s="283">
        <f aca="true" t="shared" si="80" ref="F118:O118">SUM(F119:F124)</f>
        <v>57</v>
      </c>
      <c r="G118" s="283">
        <f t="shared" si="80"/>
        <v>3922</v>
      </c>
      <c r="H118" s="283">
        <f t="shared" si="80"/>
        <v>625</v>
      </c>
      <c r="I118" s="283">
        <f t="shared" si="80"/>
        <v>1940</v>
      </c>
      <c r="J118" s="283">
        <f t="shared" si="80"/>
        <v>253</v>
      </c>
      <c r="K118" s="283">
        <f t="shared" si="80"/>
        <v>1205</v>
      </c>
      <c r="L118" s="283">
        <f t="shared" si="80"/>
        <v>1107</v>
      </c>
      <c r="M118" s="283">
        <f aca="true" t="shared" si="81" ref="M118:P118">SUM(M119:M124)</f>
        <v>-1357</v>
      </c>
      <c r="N118" s="283">
        <f t="shared" si="81"/>
        <v>1458</v>
      </c>
      <c r="O118" s="283">
        <f t="shared" si="81"/>
        <v>0</v>
      </c>
      <c r="P118" s="283">
        <f t="shared" si="81"/>
        <v>1458</v>
      </c>
    </row>
    <row r="119" spans="1:16" s="260" customFormat="1" ht="25.5" customHeight="1">
      <c r="A119" s="291">
        <v>620001</v>
      </c>
      <c r="B119" s="286" t="s">
        <v>148</v>
      </c>
      <c r="C119" s="286">
        <f>'目标人群测算表1'!L141</f>
        <v>7355</v>
      </c>
      <c r="D119" s="286">
        <f>'目标人群测算表1'!I141</f>
        <v>9194</v>
      </c>
      <c r="E119" s="287">
        <v>391</v>
      </c>
      <c r="F119" s="287">
        <v>12</v>
      </c>
      <c r="G119" s="287">
        <f t="shared" si="79"/>
        <v>403</v>
      </c>
      <c r="H119" s="287">
        <v>58</v>
      </c>
      <c r="I119" s="287">
        <v>93</v>
      </c>
      <c r="J119" s="287">
        <v>38</v>
      </c>
      <c r="K119" s="287">
        <v>31</v>
      </c>
      <c r="L119" s="287">
        <f t="shared" si="76"/>
        <v>82</v>
      </c>
      <c r="M119" s="287">
        <v>-615</v>
      </c>
      <c r="N119" s="287">
        <f aca="true" t="shared" si="82" ref="N119:N124">G119-L119+M119</f>
        <v>-294</v>
      </c>
      <c r="O119" s="30"/>
      <c r="P119" s="287">
        <f aca="true" t="shared" si="83" ref="P119:P124">N119-O119</f>
        <v>-294</v>
      </c>
    </row>
    <row r="120" spans="1:16" s="260" customFormat="1" ht="25.5" customHeight="1">
      <c r="A120" s="291">
        <v>620002</v>
      </c>
      <c r="B120" s="286" t="s">
        <v>149</v>
      </c>
      <c r="C120" s="286">
        <f>'目标人群测算表1'!L142</f>
        <v>12370</v>
      </c>
      <c r="D120" s="286">
        <f>'目标人群测算表1'!I142</f>
        <v>15462</v>
      </c>
      <c r="E120" s="287">
        <f t="shared" si="65"/>
        <v>659</v>
      </c>
      <c r="F120" s="287">
        <f>9</f>
        <v>9</v>
      </c>
      <c r="G120" s="287">
        <f aca="true" t="shared" si="84" ref="G119:G124">F120+E120</f>
        <v>668</v>
      </c>
      <c r="H120" s="287">
        <v>111</v>
      </c>
      <c r="I120" s="287">
        <v>244</v>
      </c>
      <c r="J120" s="287">
        <v>22</v>
      </c>
      <c r="K120" s="287">
        <v>184</v>
      </c>
      <c r="L120" s="287">
        <f t="shared" si="76"/>
        <v>149</v>
      </c>
      <c r="M120" s="287">
        <v>-83</v>
      </c>
      <c r="N120" s="287">
        <f t="shared" si="82"/>
        <v>436</v>
      </c>
      <c r="O120" s="30"/>
      <c r="P120" s="287">
        <f t="shared" si="83"/>
        <v>436</v>
      </c>
    </row>
    <row r="121" spans="1:16" s="260" customFormat="1" ht="25.5" customHeight="1">
      <c r="A121" s="291">
        <v>620003</v>
      </c>
      <c r="B121" s="286" t="s">
        <v>150</v>
      </c>
      <c r="C121" s="286">
        <f>'目标人群测算表1'!L143</f>
        <v>4282</v>
      </c>
      <c r="D121" s="286">
        <f>'目标人群测算表1'!I143</f>
        <v>5352</v>
      </c>
      <c r="E121" s="287">
        <f t="shared" si="65"/>
        <v>228</v>
      </c>
      <c r="F121" s="287">
        <f>9</f>
        <v>9</v>
      </c>
      <c r="G121" s="287">
        <f t="shared" si="84"/>
        <v>237</v>
      </c>
      <c r="H121" s="287">
        <v>36</v>
      </c>
      <c r="I121" s="287">
        <v>172</v>
      </c>
      <c r="J121" s="287">
        <v>7</v>
      </c>
      <c r="K121" s="287">
        <v>46</v>
      </c>
      <c r="L121" s="287">
        <f t="shared" si="76"/>
        <v>155</v>
      </c>
      <c r="M121" s="287">
        <v>-180</v>
      </c>
      <c r="N121" s="287">
        <f t="shared" si="82"/>
        <v>-98</v>
      </c>
      <c r="O121" s="30"/>
      <c r="P121" s="287">
        <f t="shared" si="83"/>
        <v>-98</v>
      </c>
    </row>
    <row r="122" spans="1:16" s="260" customFormat="1" ht="25.5" customHeight="1">
      <c r="A122" s="291">
        <v>620004</v>
      </c>
      <c r="B122" s="286" t="s">
        <v>151</v>
      </c>
      <c r="C122" s="286">
        <f>'目标人群测算表1'!L144</f>
        <v>30624</v>
      </c>
      <c r="D122" s="286">
        <f>'目标人群测算表1'!I144</f>
        <v>38280</v>
      </c>
      <c r="E122" s="287">
        <f t="shared" si="65"/>
        <v>1631</v>
      </c>
      <c r="F122" s="287">
        <f>9</f>
        <v>9</v>
      </c>
      <c r="G122" s="287">
        <f t="shared" si="84"/>
        <v>1640</v>
      </c>
      <c r="H122" s="287">
        <v>251</v>
      </c>
      <c r="I122" s="287">
        <v>781</v>
      </c>
      <c r="J122" s="287">
        <v>161</v>
      </c>
      <c r="K122" s="287">
        <v>630</v>
      </c>
      <c r="L122" s="287">
        <f t="shared" si="76"/>
        <v>241</v>
      </c>
      <c r="M122" s="287">
        <v>0</v>
      </c>
      <c r="N122" s="287">
        <f t="shared" si="82"/>
        <v>1399</v>
      </c>
      <c r="O122" s="30"/>
      <c r="P122" s="287">
        <f t="shared" si="83"/>
        <v>1399</v>
      </c>
    </row>
    <row r="123" spans="1:16" s="260" customFormat="1" ht="25.5" customHeight="1">
      <c r="A123" s="291">
        <v>620005</v>
      </c>
      <c r="B123" s="286" t="s">
        <v>152</v>
      </c>
      <c r="C123" s="286">
        <f>'目标人群测算表1'!L145</f>
        <v>5699</v>
      </c>
      <c r="D123" s="286">
        <f>'目标人群测算表1'!I145</f>
        <v>7124</v>
      </c>
      <c r="E123" s="287">
        <f t="shared" si="65"/>
        <v>303</v>
      </c>
      <c r="F123" s="287">
        <f>9</f>
        <v>9</v>
      </c>
      <c r="G123" s="287">
        <f t="shared" si="84"/>
        <v>312</v>
      </c>
      <c r="H123" s="287">
        <v>54</v>
      </c>
      <c r="I123" s="287">
        <v>213</v>
      </c>
      <c r="J123" s="287">
        <v>13</v>
      </c>
      <c r="K123" s="287">
        <v>250</v>
      </c>
      <c r="L123" s="287">
        <f t="shared" si="76"/>
        <v>4</v>
      </c>
      <c r="M123" s="287">
        <v>-29</v>
      </c>
      <c r="N123" s="287">
        <f t="shared" si="82"/>
        <v>279</v>
      </c>
      <c r="O123" s="30"/>
      <c r="P123" s="287">
        <f t="shared" si="83"/>
        <v>279</v>
      </c>
    </row>
    <row r="124" spans="1:16" s="260" customFormat="1" ht="25.5" customHeight="1">
      <c r="A124" s="291">
        <v>620006</v>
      </c>
      <c r="B124" s="286" t="s">
        <v>153</v>
      </c>
      <c r="C124" s="286">
        <f>'目标人群测算表1'!L146</f>
        <v>12260</v>
      </c>
      <c r="D124" s="286">
        <f>'目标人群测算表1'!I146</f>
        <v>15325</v>
      </c>
      <c r="E124" s="287">
        <f t="shared" si="65"/>
        <v>653</v>
      </c>
      <c r="F124" s="287">
        <f>9</f>
        <v>9</v>
      </c>
      <c r="G124" s="287">
        <f t="shared" si="84"/>
        <v>662</v>
      </c>
      <c r="H124" s="287">
        <v>115</v>
      </c>
      <c r="I124" s="287">
        <v>437</v>
      </c>
      <c r="J124" s="287">
        <v>12</v>
      </c>
      <c r="K124" s="287">
        <v>64</v>
      </c>
      <c r="L124" s="287">
        <f t="shared" si="76"/>
        <v>476</v>
      </c>
      <c r="M124" s="287">
        <v>-450</v>
      </c>
      <c r="N124" s="287">
        <f t="shared" si="82"/>
        <v>-264</v>
      </c>
      <c r="O124" s="30"/>
      <c r="P124" s="287">
        <f t="shared" si="83"/>
        <v>-264</v>
      </c>
    </row>
    <row r="125" spans="1:16" s="262" customFormat="1" ht="25.5" customHeight="1">
      <c r="A125" s="290">
        <v>621</v>
      </c>
      <c r="B125" s="281" t="s">
        <v>154</v>
      </c>
      <c r="C125" s="281">
        <f>SUM(C126:C131)</f>
        <v>25687</v>
      </c>
      <c r="D125" s="281">
        <f>SUM(D126:D131)</f>
        <v>32108</v>
      </c>
      <c r="E125" s="283">
        <f>SUM(E126:E131)</f>
        <v>1368</v>
      </c>
      <c r="F125" s="283">
        <f aca="true" t="shared" si="85" ref="F125:O125">SUM(F126:F131)</f>
        <v>57</v>
      </c>
      <c r="G125" s="283">
        <f t="shared" si="85"/>
        <v>1425</v>
      </c>
      <c r="H125" s="283">
        <f t="shared" si="85"/>
        <v>280</v>
      </c>
      <c r="I125" s="283">
        <f t="shared" si="85"/>
        <v>912</v>
      </c>
      <c r="J125" s="283">
        <f t="shared" si="85"/>
        <v>234</v>
      </c>
      <c r="K125" s="283">
        <f t="shared" si="85"/>
        <v>693</v>
      </c>
      <c r="L125" s="283">
        <f t="shared" si="85"/>
        <v>265</v>
      </c>
      <c r="M125" s="283">
        <f aca="true" t="shared" si="86" ref="M125:P125">SUM(M126:M131)</f>
        <v>-19</v>
      </c>
      <c r="N125" s="283">
        <f t="shared" si="86"/>
        <v>1141</v>
      </c>
      <c r="O125" s="283">
        <f t="shared" si="86"/>
        <v>0</v>
      </c>
      <c r="P125" s="283">
        <f t="shared" si="86"/>
        <v>1141</v>
      </c>
    </row>
    <row r="126" spans="1:16" s="260" customFormat="1" ht="25.5" customHeight="1">
      <c r="A126" s="291">
        <v>621001</v>
      </c>
      <c r="B126" s="286" t="s">
        <v>155</v>
      </c>
      <c r="C126" s="286">
        <f>'目标人群测算表1'!L148</f>
        <v>0</v>
      </c>
      <c r="D126" s="286">
        <f>'目标人群测算表1'!I148</f>
        <v>0</v>
      </c>
      <c r="E126" s="287">
        <f aca="true" t="shared" si="87" ref="E126:E131">ROUND((D126*130+C126*370)/10000,0)</f>
        <v>0</v>
      </c>
      <c r="F126" s="287">
        <v>12</v>
      </c>
      <c r="G126" s="287">
        <f aca="true" t="shared" si="88" ref="G126:G131">F126+E126</f>
        <v>12</v>
      </c>
      <c r="H126" s="287">
        <v>0</v>
      </c>
      <c r="I126" s="287">
        <v>0</v>
      </c>
      <c r="J126" s="287">
        <v>0</v>
      </c>
      <c r="K126" s="287">
        <v>0</v>
      </c>
      <c r="L126" s="287">
        <f t="shared" si="76"/>
        <v>0</v>
      </c>
      <c r="M126" s="287">
        <v>-19</v>
      </c>
      <c r="N126" s="287">
        <f aca="true" t="shared" si="89" ref="N126:N131">G126-L126+M126</f>
        <v>-7</v>
      </c>
      <c r="O126" s="30"/>
      <c r="P126" s="287">
        <f aca="true" t="shared" si="90" ref="P126:P131">N126-O126</f>
        <v>-7</v>
      </c>
    </row>
    <row r="127" spans="1:16" s="260" customFormat="1" ht="25.5" customHeight="1">
      <c r="A127" s="291">
        <v>621002</v>
      </c>
      <c r="B127" s="286" t="s">
        <v>156</v>
      </c>
      <c r="C127" s="286">
        <f>'目标人群测算表1'!L149</f>
        <v>3516</v>
      </c>
      <c r="D127" s="286">
        <f>'目标人群测算表1'!I149</f>
        <v>4395</v>
      </c>
      <c r="E127" s="287">
        <v>188</v>
      </c>
      <c r="F127" s="287">
        <f aca="true" t="shared" si="91" ref="F125:F131">9</f>
        <v>9</v>
      </c>
      <c r="G127" s="287">
        <f t="shared" si="88"/>
        <v>197</v>
      </c>
      <c r="H127" s="287">
        <v>36</v>
      </c>
      <c r="I127" s="287">
        <v>145</v>
      </c>
      <c r="J127" s="287">
        <v>52</v>
      </c>
      <c r="K127" s="287">
        <v>108</v>
      </c>
      <c r="L127" s="287">
        <f t="shared" si="76"/>
        <v>21</v>
      </c>
      <c r="M127" s="287">
        <v>0</v>
      </c>
      <c r="N127" s="287">
        <f t="shared" si="89"/>
        <v>176</v>
      </c>
      <c r="O127" s="30"/>
      <c r="P127" s="287">
        <f t="shared" si="90"/>
        <v>176</v>
      </c>
    </row>
    <row r="128" spans="1:16" s="260" customFormat="1" ht="25.5" customHeight="1">
      <c r="A128" s="291">
        <v>621003</v>
      </c>
      <c r="B128" s="286" t="s">
        <v>157</v>
      </c>
      <c r="C128" s="286">
        <f>'目标人群测算表1'!L150</f>
        <v>9300</v>
      </c>
      <c r="D128" s="286">
        <f>'目标人群测算表1'!I150</f>
        <v>11625</v>
      </c>
      <c r="E128" s="287">
        <f t="shared" si="87"/>
        <v>495</v>
      </c>
      <c r="F128" s="287">
        <f t="shared" si="91"/>
        <v>9</v>
      </c>
      <c r="G128" s="287">
        <f t="shared" si="88"/>
        <v>504</v>
      </c>
      <c r="H128" s="287">
        <v>119</v>
      </c>
      <c r="I128" s="287">
        <v>396</v>
      </c>
      <c r="J128" s="287">
        <v>89</v>
      </c>
      <c r="K128" s="287">
        <v>296</v>
      </c>
      <c r="L128" s="287">
        <f t="shared" si="76"/>
        <v>130</v>
      </c>
      <c r="M128" s="287">
        <v>0</v>
      </c>
      <c r="N128" s="287">
        <f t="shared" si="89"/>
        <v>374</v>
      </c>
      <c r="O128" s="30"/>
      <c r="P128" s="287">
        <f t="shared" si="90"/>
        <v>374</v>
      </c>
    </row>
    <row r="129" spans="1:16" s="260" customFormat="1" ht="25.5" customHeight="1">
      <c r="A129" s="291">
        <v>621004</v>
      </c>
      <c r="B129" s="286" t="s">
        <v>158</v>
      </c>
      <c r="C129" s="286">
        <f>'目标人群测算表1'!L151</f>
        <v>4174</v>
      </c>
      <c r="D129" s="286">
        <f>'目标人群测算表1'!I151</f>
        <v>5217</v>
      </c>
      <c r="E129" s="287">
        <f t="shared" si="87"/>
        <v>222</v>
      </c>
      <c r="F129" s="287">
        <f t="shared" si="91"/>
        <v>9</v>
      </c>
      <c r="G129" s="287">
        <f t="shared" si="88"/>
        <v>231</v>
      </c>
      <c r="H129" s="287">
        <v>43</v>
      </c>
      <c r="I129" s="287">
        <v>172</v>
      </c>
      <c r="J129" s="287">
        <v>29</v>
      </c>
      <c r="K129" s="287">
        <v>120</v>
      </c>
      <c r="L129" s="287">
        <f t="shared" si="76"/>
        <v>66</v>
      </c>
      <c r="M129" s="287">
        <v>0</v>
      </c>
      <c r="N129" s="287">
        <f t="shared" si="89"/>
        <v>165</v>
      </c>
      <c r="O129" s="30"/>
      <c r="P129" s="287">
        <f t="shared" si="90"/>
        <v>165</v>
      </c>
    </row>
    <row r="130" spans="1:16" s="260" customFormat="1" ht="25.5" customHeight="1">
      <c r="A130" s="291">
        <v>621005</v>
      </c>
      <c r="B130" s="286" t="s">
        <v>159</v>
      </c>
      <c r="C130" s="286">
        <f>'目标人群测算表1'!L152</f>
        <v>5439</v>
      </c>
      <c r="D130" s="286">
        <f>'目标人群测算表1'!I152</f>
        <v>6799</v>
      </c>
      <c r="E130" s="287">
        <f t="shared" si="87"/>
        <v>290</v>
      </c>
      <c r="F130" s="287">
        <f t="shared" si="91"/>
        <v>9</v>
      </c>
      <c r="G130" s="287">
        <f t="shared" si="88"/>
        <v>299</v>
      </c>
      <c r="H130" s="287">
        <v>47</v>
      </c>
      <c r="I130" s="287">
        <v>96</v>
      </c>
      <c r="J130" s="287">
        <v>18</v>
      </c>
      <c r="K130" s="287">
        <v>92</v>
      </c>
      <c r="L130" s="287">
        <f t="shared" si="76"/>
        <v>33</v>
      </c>
      <c r="M130" s="287">
        <v>0</v>
      </c>
      <c r="N130" s="287">
        <f t="shared" si="89"/>
        <v>266</v>
      </c>
      <c r="O130" s="30"/>
      <c r="P130" s="287">
        <f t="shared" si="90"/>
        <v>266</v>
      </c>
    </row>
    <row r="131" spans="1:16" s="260" customFormat="1" ht="25.5" customHeight="1">
      <c r="A131" s="291">
        <v>621006</v>
      </c>
      <c r="B131" s="286" t="s">
        <v>160</v>
      </c>
      <c r="C131" s="286">
        <f>'目标人群测算表1'!L153</f>
        <v>3258</v>
      </c>
      <c r="D131" s="286">
        <f>'目标人群测算表1'!I153</f>
        <v>4072</v>
      </c>
      <c r="E131" s="287">
        <f t="shared" si="87"/>
        <v>173</v>
      </c>
      <c r="F131" s="287">
        <f t="shared" si="91"/>
        <v>9</v>
      </c>
      <c r="G131" s="287">
        <f t="shared" si="88"/>
        <v>182</v>
      </c>
      <c r="H131" s="287">
        <v>35</v>
      </c>
      <c r="I131" s="287">
        <v>103</v>
      </c>
      <c r="J131" s="287">
        <v>46</v>
      </c>
      <c r="K131" s="287">
        <v>77</v>
      </c>
      <c r="L131" s="287">
        <f t="shared" si="76"/>
        <v>15</v>
      </c>
      <c r="M131" s="287">
        <v>0</v>
      </c>
      <c r="N131" s="287">
        <f t="shared" si="89"/>
        <v>167</v>
      </c>
      <c r="O131" s="30"/>
      <c r="P131" s="287">
        <f t="shared" si="90"/>
        <v>167</v>
      </c>
    </row>
    <row r="132" spans="1:16" s="260" customFormat="1" ht="37.5" customHeight="1">
      <c r="A132" s="299" t="s">
        <v>161</v>
      </c>
      <c r="B132" s="300"/>
      <c r="C132" s="299"/>
      <c r="D132" s="299"/>
      <c r="E132" s="299"/>
      <c r="F132" s="299"/>
      <c r="G132" s="299"/>
      <c r="H132" s="299"/>
      <c r="I132" s="299"/>
      <c r="J132" s="299"/>
      <c r="K132" s="299"/>
      <c r="L132" s="299"/>
      <c r="M132" s="299"/>
      <c r="N132" s="299"/>
      <c r="O132" s="299"/>
      <c r="P132" s="299"/>
    </row>
    <row r="133" spans="1:16" s="260" customFormat="1" ht="12" customHeight="1">
      <c r="A133" s="265"/>
      <c r="B133" s="266"/>
      <c r="C133" s="266"/>
      <c r="D133" s="266"/>
      <c r="F133" s="266"/>
      <c r="J133" s="267"/>
      <c r="K133" s="267"/>
      <c r="L133" s="268"/>
      <c r="P133" s="266"/>
    </row>
    <row r="134" spans="1:16" s="260" customFormat="1" ht="12" customHeight="1">
      <c r="A134" s="265"/>
      <c r="B134" s="266"/>
      <c r="C134" s="266"/>
      <c r="D134" s="266"/>
      <c r="E134" s="31"/>
      <c r="F134" s="266"/>
      <c r="G134" s="31"/>
      <c r="H134" s="31"/>
      <c r="I134" s="31"/>
      <c r="J134" s="31"/>
      <c r="K134" s="31"/>
      <c r="L134" s="31"/>
      <c r="M134" s="31"/>
      <c r="N134" s="31"/>
      <c r="O134" s="31"/>
      <c r="P134" s="266"/>
    </row>
    <row r="135" spans="1:16" s="260" customFormat="1" ht="12" customHeight="1">
      <c r="A135" s="265"/>
      <c r="B135" s="266"/>
      <c r="C135" s="266"/>
      <c r="D135" s="266"/>
      <c r="E135" s="31"/>
      <c r="F135" s="266"/>
      <c r="G135" s="31"/>
      <c r="H135" s="31"/>
      <c r="I135" s="31"/>
      <c r="J135" s="31"/>
      <c r="K135" s="31"/>
      <c r="L135" s="31"/>
      <c r="M135" s="31"/>
      <c r="N135" s="31"/>
      <c r="O135" s="31"/>
      <c r="P135" s="266"/>
    </row>
    <row r="136" spans="1:16" s="260" customFormat="1" ht="12" customHeight="1">
      <c r="A136" s="265"/>
      <c r="B136" s="266" t="s">
        <v>162</v>
      </c>
      <c r="C136" s="266"/>
      <c r="D136" s="266"/>
      <c r="F136" s="266"/>
      <c r="J136" s="267"/>
      <c r="K136" s="267"/>
      <c r="L136" s="268"/>
      <c r="P136" s="266"/>
    </row>
  </sheetData>
  <sheetProtection/>
  <mergeCells count="17">
    <mergeCell ref="A2:P2"/>
    <mergeCell ref="C4:G4"/>
    <mergeCell ref="H4:L4"/>
    <mergeCell ref="C5:E5"/>
    <mergeCell ref="H5:I5"/>
    <mergeCell ref="J5:K5"/>
    <mergeCell ref="A132:P132"/>
    <mergeCell ref="B134:M134"/>
    <mergeCell ref="B135:M135"/>
    <mergeCell ref="A4:A6"/>
    <mergeCell ref="B4:B6"/>
    <mergeCell ref="G5:G6"/>
    <mergeCell ref="L5:L6"/>
    <mergeCell ref="M4:M6"/>
    <mergeCell ref="N4:N6"/>
    <mergeCell ref="O4:O6"/>
    <mergeCell ref="P4:P6"/>
  </mergeCells>
  <printOptions horizontalCentered="1"/>
  <pageMargins left="0.39305555555555555" right="0.39305555555555555" top="0.5902777777777778" bottom="0.7868055555555555" header="0.2986111111111111" footer="0.2986111111111111"/>
  <pageSetup horizontalDpi="600" verticalDpi="600" orientation="landscape" paperSize="9" scale="6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N44"/>
  <sheetViews>
    <sheetView view="pageBreakPreview" zoomScaleNormal="85" zoomScaleSheetLayoutView="100" workbookViewId="0" topLeftCell="A1">
      <pane ySplit="2" topLeftCell="A16" activePane="bottomLeft" state="frozen"/>
      <selection pane="bottomLeft" activeCell="A1" sqref="A1"/>
    </sheetView>
  </sheetViews>
  <sheetFormatPr defaultColWidth="9.00390625" defaultRowHeight="14.25"/>
  <cols>
    <col min="1" max="1" width="9.875" style="165" customWidth="1"/>
    <col min="2" max="2" width="6.50390625" style="160" customWidth="1"/>
    <col min="3" max="3" width="10.375" style="166" customWidth="1"/>
    <col min="4" max="4" width="20.00390625" style="160" customWidth="1"/>
    <col min="5" max="5" width="24.00390625" style="166" customWidth="1"/>
    <col min="6" max="6" width="10.625" style="166" customWidth="1"/>
    <col min="7" max="7" width="12.00390625" style="166" customWidth="1"/>
    <col min="8" max="8" width="10.50390625" style="167" customWidth="1"/>
    <col min="9" max="9" width="8.00390625" style="160" customWidth="1"/>
    <col min="10" max="10" width="6.625" style="168" customWidth="1"/>
    <col min="11" max="11" width="9.50390625" style="168" customWidth="1"/>
    <col min="12" max="12" width="9.50390625" style="166" customWidth="1"/>
    <col min="13" max="13" width="12.375" style="163" customWidth="1"/>
    <col min="14" max="244" width="9.00390625" style="166" customWidth="1"/>
    <col min="245" max="245" width="9.125" style="166" customWidth="1"/>
    <col min="246" max="246" width="20.125" style="166" customWidth="1"/>
    <col min="247" max="247" width="7.75390625" style="166" customWidth="1"/>
    <col min="248" max="248" width="13.50390625" style="166" customWidth="1"/>
    <col min="249" max="16384" width="9.00390625" style="166" customWidth="1"/>
  </cols>
  <sheetData>
    <row r="1" ht="27" customHeight="1">
      <c r="A1" s="169" t="s">
        <v>163</v>
      </c>
    </row>
    <row r="2" spans="1:13" ht="33" customHeight="1">
      <c r="A2" s="170" t="s">
        <v>164</v>
      </c>
      <c r="B2" s="170"/>
      <c r="C2" s="170"/>
      <c r="D2" s="170"/>
      <c r="E2" s="170"/>
      <c r="F2" s="170"/>
      <c r="G2" s="171"/>
      <c r="H2" s="171"/>
      <c r="I2" s="170"/>
      <c r="J2" s="231"/>
      <c r="K2" s="231"/>
      <c r="L2" s="232"/>
      <c r="M2" s="233"/>
    </row>
    <row r="3" spans="1:13" s="160" customFormat="1" ht="45" customHeight="1">
      <c r="A3" s="172" t="s">
        <v>165</v>
      </c>
      <c r="B3" s="173" t="s">
        <v>166</v>
      </c>
      <c r="C3" s="174"/>
      <c r="D3" s="175"/>
      <c r="E3" s="172" t="s">
        <v>167</v>
      </c>
      <c r="F3" s="172" t="s">
        <v>168</v>
      </c>
      <c r="G3" s="176" t="s">
        <v>169</v>
      </c>
      <c r="H3" s="177" t="s">
        <v>170</v>
      </c>
      <c r="I3" s="177" t="s">
        <v>171</v>
      </c>
      <c r="J3" s="177" t="s">
        <v>172</v>
      </c>
      <c r="K3" s="234" t="s">
        <v>173</v>
      </c>
      <c r="L3" s="235"/>
      <c r="M3" s="236"/>
    </row>
    <row r="4" spans="1:13" s="160" customFormat="1" ht="66.75" customHeight="1">
      <c r="A4" s="172"/>
      <c r="B4" s="178"/>
      <c r="C4" s="179"/>
      <c r="D4" s="180"/>
      <c r="E4" s="172"/>
      <c r="F4" s="172"/>
      <c r="G4" s="181"/>
      <c r="H4" s="182"/>
      <c r="I4" s="182"/>
      <c r="J4" s="182"/>
      <c r="K4" s="237" t="s">
        <v>174</v>
      </c>
      <c r="L4" s="237" t="s">
        <v>175</v>
      </c>
      <c r="M4" s="238" t="s">
        <v>176</v>
      </c>
    </row>
    <row r="5" spans="1:13" ht="51.75" customHeight="1">
      <c r="A5" s="172"/>
      <c r="B5" s="183"/>
      <c r="C5" s="184"/>
      <c r="D5" s="185"/>
      <c r="E5" s="172"/>
      <c r="F5" s="172"/>
      <c r="G5" s="172" t="s">
        <v>23</v>
      </c>
      <c r="H5" s="186" t="s">
        <v>177</v>
      </c>
      <c r="I5" s="172" t="s">
        <v>178</v>
      </c>
      <c r="J5" s="186" t="s">
        <v>26</v>
      </c>
      <c r="K5" s="186" t="s">
        <v>179</v>
      </c>
      <c r="L5" s="186" t="s">
        <v>180</v>
      </c>
      <c r="M5" s="239" t="s">
        <v>181</v>
      </c>
    </row>
    <row r="6" spans="1:13" ht="30.75" customHeight="1">
      <c r="A6" s="187" t="s">
        <v>37</v>
      </c>
      <c r="B6" s="187"/>
      <c r="C6" s="187"/>
      <c r="D6" s="187"/>
      <c r="E6" s="187"/>
      <c r="F6" s="187"/>
      <c r="G6" s="188"/>
      <c r="H6" s="188"/>
      <c r="I6" s="240"/>
      <c r="J6" s="241">
        <f>L6/K6</f>
        <v>0.5995203836930456</v>
      </c>
      <c r="K6" s="211">
        <f aca="true" t="shared" si="0" ref="K6:M6">K10+K31</f>
        <v>834</v>
      </c>
      <c r="L6" s="211">
        <f t="shared" si="0"/>
        <v>500</v>
      </c>
      <c r="M6" s="211">
        <f t="shared" si="0"/>
        <v>334</v>
      </c>
    </row>
    <row r="7" spans="1:13" s="161" customFormat="1" ht="30.75" customHeight="1" hidden="1">
      <c r="A7" s="189" t="s">
        <v>182</v>
      </c>
      <c r="B7" s="190"/>
      <c r="C7" s="190"/>
      <c r="D7" s="190"/>
      <c r="E7" s="190"/>
      <c r="F7" s="191"/>
      <c r="G7" s="192"/>
      <c r="H7" s="192"/>
      <c r="I7" s="240"/>
      <c r="J7" s="211"/>
      <c r="K7" s="211">
        <f aca="true" t="shared" si="1" ref="K7:K9">SUM(L7:M7)</f>
        <v>69</v>
      </c>
      <c r="L7" s="211">
        <f>L17+L22</f>
        <v>41</v>
      </c>
      <c r="M7" s="211">
        <f>M17+M22</f>
        <v>28</v>
      </c>
    </row>
    <row r="8" spans="1:13" s="161" customFormat="1" ht="30.75" customHeight="1" hidden="1">
      <c r="A8" s="189" t="s">
        <v>183</v>
      </c>
      <c r="B8" s="190"/>
      <c r="C8" s="190"/>
      <c r="D8" s="190"/>
      <c r="E8" s="190"/>
      <c r="F8" s="191"/>
      <c r="G8" s="192"/>
      <c r="H8" s="192"/>
      <c r="I8" s="240"/>
      <c r="J8" s="211"/>
      <c r="K8" s="211">
        <f t="shared" si="1"/>
        <v>62</v>
      </c>
      <c r="L8" s="211">
        <f>L37+L38+L39+L42+L43</f>
        <v>38</v>
      </c>
      <c r="M8" s="211">
        <f>M37+M38+M39+M42+M43</f>
        <v>24</v>
      </c>
    </row>
    <row r="9" spans="1:13" s="161" customFormat="1" ht="30.75" customHeight="1" hidden="1">
      <c r="A9" s="189" t="s">
        <v>184</v>
      </c>
      <c r="B9" s="190"/>
      <c r="C9" s="190"/>
      <c r="D9" s="190"/>
      <c r="E9" s="190"/>
      <c r="F9" s="191"/>
      <c r="G9" s="192"/>
      <c r="H9" s="192"/>
      <c r="I9" s="240"/>
      <c r="J9" s="211"/>
      <c r="K9" s="211">
        <f t="shared" si="1"/>
        <v>132</v>
      </c>
      <c r="L9" s="211">
        <f>L13+L14++L21+L22+L23+L24+L25+L28+L26+L29+L30+L32+L33+L34+L35+L36+L37+L38+L39</f>
        <v>132</v>
      </c>
      <c r="M9" s="211"/>
    </row>
    <row r="10" spans="1:13" s="162" customFormat="1" ht="28.5" customHeight="1">
      <c r="A10" s="193" t="s">
        <v>185</v>
      </c>
      <c r="B10" s="193"/>
      <c r="C10" s="193"/>
      <c r="D10" s="193"/>
      <c r="E10" s="193"/>
      <c r="F10" s="193"/>
      <c r="G10" s="194"/>
      <c r="H10" s="194"/>
      <c r="I10" s="242"/>
      <c r="J10" s="241"/>
      <c r="K10" s="211">
        <f aca="true" t="shared" si="2" ref="K10:M10">K11+K20</f>
        <v>620</v>
      </c>
      <c r="L10" s="211">
        <f t="shared" si="2"/>
        <v>370</v>
      </c>
      <c r="M10" s="211">
        <f t="shared" si="2"/>
        <v>250</v>
      </c>
    </row>
    <row r="11" spans="1:13" s="161" customFormat="1" ht="30" customHeight="1">
      <c r="A11" s="195" t="s">
        <v>186</v>
      </c>
      <c r="B11" s="195"/>
      <c r="C11" s="195"/>
      <c r="D11" s="195"/>
      <c r="E11" s="195"/>
      <c r="F11" s="195"/>
      <c r="G11" s="196"/>
      <c r="H11" s="196"/>
      <c r="I11" s="195"/>
      <c r="J11" s="241"/>
      <c r="K11" s="211">
        <f aca="true" t="shared" si="3" ref="K11:M11">SUM(K13:K19)</f>
        <v>542</v>
      </c>
      <c r="L11" s="211">
        <f t="shared" si="3"/>
        <v>326</v>
      </c>
      <c r="M11" s="211">
        <f t="shared" si="3"/>
        <v>216</v>
      </c>
    </row>
    <row r="12" spans="1:13" ht="39.75" customHeight="1">
      <c r="A12" s="197" t="s">
        <v>187</v>
      </c>
      <c r="B12" s="198" t="s">
        <v>188</v>
      </c>
      <c r="C12" s="198" t="s">
        <v>189</v>
      </c>
      <c r="D12" s="198" t="s">
        <v>190</v>
      </c>
      <c r="E12" s="198" t="s">
        <v>191</v>
      </c>
      <c r="F12" s="199" t="s">
        <v>192</v>
      </c>
      <c r="G12" s="198" t="s">
        <v>193</v>
      </c>
      <c r="H12" s="198" t="s">
        <v>193</v>
      </c>
      <c r="I12" s="243">
        <v>1</v>
      </c>
      <c r="J12" s="211"/>
      <c r="K12" s="211" t="s">
        <v>193</v>
      </c>
      <c r="L12" s="244"/>
      <c r="M12" s="245"/>
    </row>
    <row r="13" spans="1:13" ht="78">
      <c r="A13" s="197"/>
      <c r="B13" s="198" t="s">
        <v>188</v>
      </c>
      <c r="C13" s="198" t="s">
        <v>194</v>
      </c>
      <c r="D13" s="198" t="s">
        <v>195</v>
      </c>
      <c r="E13" s="198" t="s">
        <v>196</v>
      </c>
      <c r="F13" s="198" t="s">
        <v>197</v>
      </c>
      <c r="G13" s="198">
        <v>42.3</v>
      </c>
      <c r="H13" s="200">
        <f aca="true" t="shared" si="4" ref="H13:H16">G13*0.9</f>
        <v>38.07</v>
      </c>
      <c r="I13" s="246">
        <v>0.25</v>
      </c>
      <c r="J13" s="247">
        <v>0.6</v>
      </c>
      <c r="K13" s="248">
        <f aca="true" t="shared" si="5" ref="K13:K19">ROUND(H13*I13,0)</f>
        <v>10</v>
      </c>
      <c r="L13" s="249">
        <f aca="true" t="shared" si="6" ref="L13:L17">ROUND(H13*I13*J13,0)</f>
        <v>6</v>
      </c>
      <c r="M13" s="248">
        <f aca="true" t="shared" si="7" ref="M13:M17">ROUND(H13*I13*(1-J13),0)</f>
        <v>4</v>
      </c>
    </row>
    <row r="14" spans="1:13" ht="93">
      <c r="A14" s="197"/>
      <c r="B14" s="198" t="s">
        <v>188</v>
      </c>
      <c r="C14" s="198"/>
      <c r="D14" s="198" t="s">
        <v>198</v>
      </c>
      <c r="E14" s="198" t="s">
        <v>199</v>
      </c>
      <c r="F14" s="198"/>
      <c r="G14" s="200">
        <v>574.46</v>
      </c>
      <c r="H14" s="200">
        <f t="shared" si="4"/>
        <v>517.014</v>
      </c>
      <c r="I14" s="250">
        <v>0.0625</v>
      </c>
      <c r="J14" s="247">
        <v>0.6</v>
      </c>
      <c r="K14" s="248">
        <f t="shared" si="5"/>
        <v>32</v>
      </c>
      <c r="L14" s="249">
        <f t="shared" si="6"/>
        <v>19</v>
      </c>
      <c r="M14" s="248">
        <f t="shared" si="7"/>
        <v>13</v>
      </c>
    </row>
    <row r="15" spans="1:13" ht="48">
      <c r="A15" s="197" t="s">
        <v>200</v>
      </c>
      <c r="B15" s="198" t="s">
        <v>188</v>
      </c>
      <c r="C15" s="198" t="s">
        <v>189</v>
      </c>
      <c r="D15" s="198" t="s">
        <v>201</v>
      </c>
      <c r="E15" s="198" t="s">
        <v>202</v>
      </c>
      <c r="F15" s="198"/>
      <c r="G15" s="198">
        <v>130</v>
      </c>
      <c r="H15" s="200">
        <f t="shared" si="4"/>
        <v>117</v>
      </c>
      <c r="I15" s="246">
        <v>0.7</v>
      </c>
      <c r="J15" s="247">
        <v>0.6</v>
      </c>
      <c r="K15" s="248">
        <f t="shared" si="5"/>
        <v>82</v>
      </c>
      <c r="L15" s="249">
        <f t="shared" si="6"/>
        <v>49</v>
      </c>
      <c r="M15" s="248">
        <f t="shared" si="7"/>
        <v>33</v>
      </c>
    </row>
    <row r="16" spans="1:13" ht="46.5">
      <c r="A16" s="197"/>
      <c r="B16" s="198" t="s">
        <v>188</v>
      </c>
      <c r="C16" s="198"/>
      <c r="D16" s="198" t="s">
        <v>203</v>
      </c>
      <c r="E16" s="198" t="s">
        <v>204</v>
      </c>
      <c r="F16" s="198"/>
      <c r="G16" s="200">
        <v>147.39</v>
      </c>
      <c r="H16" s="200">
        <f t="shared" si="4"/>
        <v>132.65099999999998</v>
      </c>
      <c r="I16" s="246">
        <v>0.3</v>
      </c>
      <c r="J16" s="247">
        <v>0.6</v>
      </c>
      <c r="K16" s="248">
        <f t="shared" si="5"/>
        <v>40</v>
      </c>
      <c r="L16" s="249">
        <f t="shared" si="6"/>
        <v>24</v>
      </c>
      <c r="M16" s="248">
        <f t="shared" si="7"/>
        <v>16</v>
      </c>
    </row>
    <row r="17" spans="1:13" ht="112.5" customHeight="1">
      <c r="A17" s="197"/>
      <c r="B17" s="201" t="s">
        <v>205</v>
      </c>
      <c r="C17" s="198" t="s">
        <v>194</v>
      </c>
      <c r="D17" s="198" t="s">
        <v>206</v>
      </c>
      <c r="E17" s="195" t="s">
        <v>207</v>
      </c>
      <c r="F17" s="198" t="s">
        <v>208</v>
      </c>
      <c r="G17" s="198">
        <v>1411.7</v>
      </c>
      <c r="H17" s="200">
        <v>600</v>
      </c>
      <c r="I17" s="251">
        <v>0.1</v>
      </c>
      <c r="J17" s="247">
        <v>0.6</v>
      </c>
      <c r="K17" s="248">
        <f t="shared" si="5"/>
        <v>60</v>
      </c>
      <c r="L17" s="249">
        <f t="shared" si="6"/>
        <v>36</v>
      </c>
      <c r="M17" s="248">
        <f t="shared" si="7"/>
        <v>24</v>
      </c>
    </row>
    <row r="18" spans="1:13" ht="46.5" customHeight="1">
      <c r="A18" s="197" t="s">
        <v>209</v>
      </c>
      <c r="B18" s="198" t="s">
        <v>188</v>
      </c>
      <c r="C18" s="198" t="s">
        <v>189</v>
      </c>
      <c r="D18" s="198" t="s">
        <v>210</v>
      </c>
      <c r="E18" s="198" t="s">
        <v>211</v>
      </c>
      <c r="F18" s="198" t="s">
        <v>197</v>
      </c>
      <c r="G18" s="198">
        <v>177</v>
      </c>
      <c r="H18" s="200">
        <f>G18*0.9</f>
        <v>159.3</v>
      </c>
      <c r="I18" s="246">
        <v>1</v>
      </c>
      <c r="J18" s="247">
        <v>0.6</v>
      </c>
      <c r="K18" s="248">
        <f t="shared" si="5"/>
        <v>159</v>
      </c>
      <c r="L18" s="249">
        <v>96</v>
      </c>
      <c r="M18" s="248">
        <v>63</v>
      </c>
    </row>
    <row r="19" spans="1:13" ht="42" customHeight="1">
      <c r="A19" s="197"/>
      <c r="B19" s="198" t="s">
        <v>188</v>
      </c>
      <c r="C19" s="198"/>
      <c r="D19" s="202" t="s">
        <v>212</v>
      </c>
      <c r="E19" s="198" t="s">
        <v>211</v>
      </c>
      <c r="F19" s="198"/>
      <c r="G19" s="198">
        <v>177</v>
      </c>
      <c r="H19" s="200">
        <f>G19*0.9</f>
        <v>159.3</v>
      </c>
      <c r="I19" s="246">
        <v>1</v>
      </c>
      <c r="J19" s="247">
        <v>0.6</v>
      </c>
      <c r="K19" s="248">
        <f t="shared" si="5"/>
        <v>159</v>
      </c>
      <c r="L19" s="249">
        <v>96</v>
      </c>
      <c r="M19" s="248">
        <v>63</v>
      </c>
    </row>
    <row r="20" spans="1:13" s="163" customFormat="1" ht="39" customHeight="1">
      <c r="A20" s="203" t="s">
        <v>213</v>
      </c>
      <c r="B20" s="204"/>
      <c r="C20" s="204"/>
      <c r="D20" s="204"/>
      <c r="E20" s="204"/>
      <c r="F20" s="205"/>
      <c r="G20" s="206"/>
      <c r="H20" s="206"/>
      <c r="I20" s="201"/>
      <c r="J20" s="252"/>
      <c r="K20" s="253">
        <f>SUM(K21:K30)</f>
        <v>78</v>
      </c>
      <c r="L20" s="253">
        <f>SUM(L21:L30)</f>
        <v>44</v>
      </c>
      <c r="M20" s="253">
        <f>SUM(M21:M30)</f>
        <v>34</v>
      </c>
    </row>
    <row r="21" spans="1:13" ht="60" customHeight="1">
      <c r="A21" s="197" t="s">
        <v>187</v>
      </c>
      <c r="B21" s="198" t="s">
        <v>188</v>
      </c>
      <c r="C21" s="198" t="s">
        <v>214</v>
      </c>
      <c r="D21" s="198" t="s">
        <v>215</v>
      </c>
      <c r="E21" s="198" t="s">
        <v>216</v>
      </c>
      <c r="F21" s="207" t="s">
        <v>208</v>
      </c>
      <c r="G21" s="198">
        <v>1967</v>
      </c>
      <c r="H21" s="198">
        <v>1850</v>
      </c>
      <c r="I21" s="251">
        <v>0.01</v>
      </c>
      <c r="J21" s="247">
        <v>0.6</v>
      </c>
      <c r="K21" s="248">
        <f aca="true" t="shared" si="8" ref="K21:K30">ROUND(H21*I21,0)</f>
        <v>19</v>
      </c>
      <c r="L21" s="249">
        <v>11</v>
      </c>
      <c r="M21" s="248">
        <v>8</v>
      </c>
    </row>
    <row r="22" spans="1:13" ht="91.5" customHeight="1">
      <c r="A22" s="197" t="s">
        <v>217</v>
      </c>
      <c r="B22" s="201" t="s">
        <v>205</v>
      </c>
      <c r="C22" s="198" t="s">
        <v>214</v>
      </c>
      <c r="D22" s="208" t="s">
        <v>218</v>
      </c>
      <c r="E22" s="198" t="s">
        <v>219</v>
      </c>
      <c r="F22" s="207"/>
      <c r="G22" s="198">
        <v>2070</v>
      </c>
      <c r="H22" s="198">
        <v>1850</v>
      </c>
      <c r="I22" s="251">
        <v>0.005</v>
      </c>
      <c r="J22" s="247">
        <v>0.6</v>
      </c>
      <c r="K22" s="248">
        <f t="shared" si="8"/>
        <v>9</v>
      </c>
      <c r="L22" s="249">
        <v>5</v>
      </c>
      <c r="M22" s="248">
        <f aca="true" t="shared" si="9" ref="M22:M28">ROUND(H22*I22*(1-J22),0)</f>
        <v>4</v>
      </c>
    </row>
    <row r="23" spans="1:13" ht="51" customHeight="1">
      <c r="A23" s="209" t="s">
        <v>220</v>
      </c>
      <c r="B23" s="198" t="s">
        <v>188</v>
      </c>
      <c r="C23" s="208" t="s">
        <v>214</v>
      </c>
      <c r="D23" s="208" t="s">
        <v>221</v>
      </c>
      <c r="E23" s="208" t="s">
        <v>222</v>
      </c>
      <c r="F23" s="207"/>
      <c r="G23" s="198">
        <v>1992</v>
      </c>
      <c r="H23" s="198">
        <v>1850</v>
      </c>
      <c r="I23" s="251">
        <v>0.005</v>
      </c>
      <c r="J23" s="247">
        <v>0.6</v>
      </c>
      <c r="K23" s="248">
        <f t="shared" si="8"/>
        <v>9</v>
      </c>
      <c r="L23" s="249">
        <v>5</v>
      </c>
      <c r="M23" s="248">
        <f t="shared" si="9"/>
        <v>4</v>
      </c>
    </row>
    <row r="24" spans="1:13" ht="49.5" customHeight="1">
      <c r="A24" s="209"/>
      <c r="B24" s="198" t="s">
        <v>188</v>
      </c>
      <c r="C24" s="208"/>
      <c r="D24" s="208" t="s">
        <v>223</v>
      </c>
      <c r="E24" s="208"/>
      <c r="F24" s="207"/>
      <c r="G24" s="198">
        <v>4353</v>
      </c>
      <c r="H24" s="198">
        <v>1850</v>
      </c>
      <c r="I24" s="251">
        <v>0.005</v>
      </c>
      <c r="J24" s="247">
        <v>0.6</v>
      </c>
      <c r="K24" s="248">
        <f t="shared" si="8"/>
        <v>9</v>
      </c>
      <c r="L24" s="249">
        <v>5</v>
      </c>
      <c r="M24" s="248">
        <f t="shared" si="9"/>
        <v>4</v>
      </c>
    </row>
    <row r="25" spans="1:13" s="164" customFormat="1" ht="54.75" customHeight="1">
      <c r="A25" s="209"/>
      <c r="B25" s="198" t="s">
        <v>188</v>
      </c>
      <c r="C25" s="208"/>
      <c r="D25" s="208" t="s">
        <v>224</v>
      </c>
      <c r="E25" s="208"/>
      <c r="F25" s="207"/>
      <c r="G25" s="208">
        <v>3111</v>
      </c>
      <c r="H25" s="198">
        <v>1850</v>
      </c>
      <c r="I25" s="251">
        <v>0.005</v>
      </c>
      <c r="J25" s="247">
        <v>0.6</v>
      </c>
      <c r="K25" s="248">
        <f t="shared" si="8"/>
        <v>9</v>
      </c>
      <c r="L25" s="249">
        <v>5</v>
      </c>
      <c r="M25" s="248">
        <f t="shared" si="9"/>
        <v>4</v>
      </c>
    </row>
    <row r="26" spans="1:13" ht="45" customHeight="1">
      <c r="A26" s="210" t="s">
        <v>225</v>
      </c>
      <c r="B26" s="211" t="s">
        <v>188</v>
      </c>
      <c r="C26" s="212" t="s">
        <v>214</v>
      </c>
      <c r="D26" s="211" t="s">
        <v>221</v>
      </c>
      <c r="E26" s="195" t="s">
        <v>226</v>
      </c>
      <c r="F26" s="207" t="s">
        <v>208</v>
      </c>
      <c r="G26" s="213">
        <v>1992</v>
      </c>
      <c r="H26" s="213">
        <v>1850</v>
      </c>
      <c r="I26" s="254">
        <v>0.004</v>
      </c>
      <c r="J26" s="255">
        <v>0.6</v>
      </c>
      <c r="K26" s="256">
        <v>6</v>
      </c>
      <c r="L26" s="256">
        <v>4</v>
      </c>
      <c r="M26" s="256">
        <v>2</v>
      </c>
    </row>
    <row r="27" spans="1:13" ht="48.75" customHeight="1">
      <c r="A27" s="214"/>
      <c r="B27" s="198" t="s">
        <v>188</v>
      </c>
      <c r="C27" s="215"/>
      <c r="D27" s="209" t="s">
        <v>223</v>
      </c>
      <c r="E27" s="216"/>
      <c r="F27" s="207"/>
      <c r="G27" s="198">
        <v>4353</v>
      </c>
      <c r="H27" s="198">
        <v>1850</v>
      </c>
      <c r="I27" s="251">
        <v>0.0033</v>
      </c>
      <c r="J27" s="247">
        <v>0.6</v>
      </c>
      <c r="K27" s="248">
        <f t="shared" si="8"/>
        <v>6</v>
      </c>
      <c r="L27" s="249">
        <v>3</v>
      </c>
      <c r="M27" s="248">
        <v>3</v>
      </c>
    </row>
    <row r="28" spans="1:13" ht="46.5">
      <c r="A28" s="217"/>
      <c r="B28" s="198" t="s">
        <v>188</v>
      </c>
      <c r="C28" s="218"/>
      <c r="D28" s="209" t="s">
        <v>227</v>
      </c>
      <c r="E28" s="216"/>
      <c r="F28" s="207"/>
      <c r="G28" s="208">
        <v>3111</v>
      </c>
      <c r="H28" s="198">
        <v>1850</v>
      </c>
      <c r="I28" s="251">
        <v>0.003</v>
      </c>
      <c r="J28" s="247">
        <v>0.6</v>
      </c>
      <c r="K28" s="248">
        <f t="shared" si="8"/>
        <v>6</v>
      </c>
      <c r="L28" s="249">
        <v>3</v>
      </c>
      <c r="M28" s="248">
        <v>3</v>
      </c>
    </row>
    <row r="29" spans="1:13" ht="57" customHeight="1">
      <c r="A29" s="217"/>
      <c r="B29" s="198" t="s">
        <v>188</v>
      </c>
      <c r="C29" s="219" t="s">
        <v>228</v>
      </c>
      <c r="D29" s="220" t="s">
        <v>229</v>
      </c>
      <c r="E29" s="198" t="s">
        <v>230</v>
      </c>
      <c r="F29" s="207"/>
      <c r="G29" s="198">
        <v>390</v>
      </c>
      <c r="H29" s="200">
        <f>G29</f>
        <v>390</v>
      </c>
      <c r="I29" s="251">
        <v>0.01</v>
      </c>
      <c r="J29" s="247">
        <v>0.6</v>
      </c>
      <c r="K29" s="248">
        <f t="shared" si="8"/>
        <v>4</v>
      </c>
      <c r="L29" s="249">
        <f aca="true" t="shared" si="10" ref="L29:L34">ROUND(H29*I29*J29,0)</f>
        <v>2</v>
      </c>
      <c r="M29" s="248">
        <v>2</v>
      </c>
    </row>
    <row r="30" spans="1:13" ht="58.5" customHeight="1">
      <c r="A30" s="221"/>
      <c r="B30" s="198" t="s">
        <v>188</v>
      </c>
      <c r="C30" s="218"/>
      <c r="D30" s="197" t="s">
        <v>231</v>
      </c>
      <c r="E30" s="198" t="s">
        <v>232</v>
      </c>
      <c r="F30" s="207"/>
      <c r="G30" s="198">
        <v>360</v>
      </c>
      <c r="H30" s="200">
        <f>G30</f>
        <v>360</v>
      </c>
      <c r="I30" s="251">
        <v>0.002</v>
      </c>
      <c r="J30" s="247">
        <v>0.6</v>
      </c>
      <c r="K30" s="248">
        <f t="shared" si="8"/>
        <v>1</v>
      </c>
      <c r="L30" s="249">
        <v>1</v>
      </c>
      <c r="M30" s="248">
        <f aca="true" t="shared" si="11" ref="M30:M37">ROUND(H30*I30*(1-J30),0)</f>
        <v>0</v>
      </c>
    </row>
    <row r="31" spans="1:248" s="162" customFormat="1" ht="42.75" customHeight="1">
      <c r="A31" s="222" t="s">
        <v>233</v>
      </c>
      <c r="B31" s="223"/>
      <c r="C31" s="223"/>
      <c r="D31" s="223"/>
      <c r="E31" s="223"/>
      <c r="F31" s="224"/>
      <c r="G31" s="225"/>
      <c r="H31" s="225"/>
      <c r="I31" s="193"/>
      <c r="J31" s="247"/>
      <c r="K31" s="253">
        <f aca="true" t="shared" si="12" ref="K31:M31">SUM(K32:K43)</f>
        <v>214</v>
      </c>
      <c r="L31" s="253">
        <f t="shared" si="12"/>
        <v>130</v>
      </c>
      <c r="M31" s="253">
        <f t="shared" si="12"/>
        <v>84</v>
      </c>
      <c r="IK31" s="259"/>
      <c r="IL31" s="259"/>
      <c r="IM31" s="259"/>
      <c r="IN31" s="259"/>
    </row>
    <row r="32" spans="1:13" ht="37.5" customHeight="1">
      <c r="A32" s="197" t="s">
        <v>234</v>
      </c>
      <c r="B32" s="198" t="s">
        <v>188</v>
      </c>
      <c r="C32" s="198" t="s">
        <v>189</v>
      </c>
      <c r="D32" s="198" t="s">
        <v>235</v>
      </c>
      <c r="E32" s="198" t="s">
        <v>236</v>
      </c>
      <c r="F32" s="198" t="s">
        <v>237</v>
      </c>
      <c r="G32" s="200">
        <v>33.12</v>
      </c>
      <c r="H32" s="200">
        <f aca="true" t="shared" si="13" ref="H32:H43">G32*0.9</f>
        <v>29.808</v>
      </c>
      <c r="I32" s="246">
        <v>1</v>
      </c>
      <c r="J32" s="247">
        <v>0.6</v>
      </c>
      <c r="K32" s="248">
        <f aca="true" t="shared" si="14" ref="K32:K34">ROUND(H32*I32,0)</f>
        <v>30</v>
      </c>
      <c r="L32" s="249">
        <v>19</v>
      </c>
      <c r="M32" s="248">
        <v>11</v>
      </c>
    </row>
    <row r="33" spans="1:13" ht="63" customHeight="1">
      <c r="A33" s="197"/>
      <c r="B33" s="198" t="s">
        <v>188</v>
      </c>
      <c r="C33" s="198" t="s">
        <v>194</v>
      </c>
      <c r="D33" s="198" t="s">
        <v>238</v>
      </c>
      <c r="E33" s="198" t="s">
        <v>239</v>
      </c>
      <c r="F33" s="198"/>
      <c r="G33" s="200">
        <v>127.52</v>
      </c>
      <c r="H33" s="200">
        <f t="shared" si="13"/>
        <v>114.768</v>
      </c>
      <c r="I33" s="246">
        <v>0.02</v>
      </c>
      <c r="J33" s="247">
        <v>0.6</v>
      </c>
      <c r="K33" s="248">
        <f t="shared" si="14"/>
        <v>2</v>
      </c>
      <c r="L33" s="249">
        <f t="shared" si="10"/>
        <v>1</v>
      </c>
      <c r="M33" s="248">
        <f t="shared" si="11"/>
        <v>1</v>
      </c>
    </row>
    <row r="34" spans="1:13" ht="39" customHeight="1">
      <c r="A34" s="197" t="s">
        <v>240</v>
      </c>
      <c r="B34" s="198" t="s">
        <v>188</v>
      </c>
      <c r="C34" s="198" t="s">
        <v>189</v>
      </c>
      <c r="D34" s="198" t="s">
        <v>241</v>
      </c>
      <c r="E34" s="198" t="s">
        <v>236</v>
      </c>
      <c r="F34" s="198"/>
      <c r="G34" s="198">
        <v>9.9</v>
      </c>
      <c r="H34" s="200">
        <f t="shared" si="13"/>
        <v>8.91</v>
      </c>
      <c r="I34" s="246">
        <v>1</v>
      </c>
      <c r="J34" s="247">
        <v>0.6</v>
      </c>
      <c r="K34" s="248">
        <f t="shared" si="14"/>
        <v>9</v>
      </c>
      <c r="L34" s="249">
        <f t="shared" si="10"/>
        <v>5</v>
      </c>
      <c r="M34" s="248">
        <f t="shared" si="11"/>
        <v>4</v>
      </c>
    </row>
    <row r="35" spans="1:13" ht="46.5">
      <c r="A35" s="197"/>
      <c r="B35" s="198" t="s">
        <v>188</v>
      </c>
      <c r="C35" s="198" t="s">
        <v>194</v>
      </c>
      <c r="D35" s="198" t="s">
        <v>242</v>
      </c>
      <c r="E35" s="198" t="s">
        <v>243</v>
      </c>
      <c r="F35" s="198"/>
      <c r="G35" s="198">
        <v>9.2</v>
      </c>
      <c r="H35" s="200">
        <f t="shared" si="13"/>
        <v>8.28</v>
      </c>
      <c r="I35" s="251">
        <v>0.05</v>
      </c>
      <c r="J35" s="247">
        <v>0.6</v>
      </c>
      <c r="K35" s="248">
        <f>ROUNDUP(H35*I35,0)</f>
        <v>1</v>
      </c>
      <c r="L35" s="249">
        <v>1</v>
      </c>
      <c r="M35" s="248">
        <f t="shared" si="11"/>
        <v>0</v>
      </c>
    </row>
    <row r="36" spans="1:13" ht="30.75">
      <c r="A36" s="197" t="s">
        <v>244</v>
      </c>
      <c r="B36" s="198" t="s">
        <v>188</v>
      </c>
      <c r="C36" s="198" t="s">
        <v>189</v>
      </c>
      <c r="D36" s="198" t="s">
        <v>245</v>
      </c>
      <c r="E36" s="198" t="s">
        <v>236</v>
      </c>
      <c r="F36" s="198"/>
      <c r="G36" s="198">
        <v>23</v>
      </c>
      <c r="H36" s="200">
        <f t="shared" si="13"/>
        <v>20.7</v>
      </c>
      <c r="I36" s="246">
        <v>1</v>
      </c>
      <c r="J36" s="247">
        <v>0.6</v>
      </c>
      <c r="K36" s="248">
        <v>20</v>
      </c>
      <c r="L36" s="249">
        <f aca="true" t="shared" si="15" ref="L36:L43">ROUND(H36*I36*J36,0)</f>
        <v>12</v>
      </c>
      <c r="M36" s="248">
        <f t="shared" si="11"/>
        <v>8</v>
      </c>
    </row>
    <row r="37" spans="1:13" ht="49.5" customHeight="1">
      <c r="A37" s="197"/>
      <c r="B37" s="201" t="s">
        <v>205</v>
      </c>
      <c r="C37" s="198" t="s">
        <v>194</v>
      </c>
      <c r="D37" s="198" t="s">
        <v>246</v>
      </c>
      <c r="E37" s="198" t="s">
        <v>247</v>
      </c>
      <c r="F37" s="198"/>
      <c r="G37" s="200">
        <v>241.78</v>
      </c>
      <c r="H37" s="200">
        <f t="shared" si="13"/>
        <v>217.602</v>
      </c>
      <c r="I37" s="250">
        <v>0.003</v>
      </c>
      <c r="J37" s="247">
        <v>0.6</v>
      </c>
      <c r="K37" s="248">
        <f aca="true" t="shared" si="16" ref="K37:K40">ROUND(H37*I37,0)</f>
        <v>1</v>
      </c>
      <c r="L37" s="249">
        <v>1</v>
      </c>
      <c r="M37" s="248">
        <f t="shared" si="11"/>
        <v>0</v>
      </c>
    </row>
    <row r="38" spans="1:13" ht="39" customHeight="1">
      <c r="A38" s="226" t="s">
        <v>248</v>
      </c>
      <c r="B38" s="227" t="s">
        <v>205</v>
      </c>
      <c r="C38" s="198" t="s">
        <v>189</v>
      </c>
      <c r="D38" s="198" t="s">
        <v>249</v>
      </c>
      <c r="E38" s="198" t="s">
        <v>236</v>
      </c>
      <c r="F38" s="198"/>
      <c r="G38" s="198">
        <v>47.2</v>
      </c>
      <c r="H38" s="200">
        <f t="shared" si="13"/>
        <v>42.480000000000004</v>
      </c>
      <c r="I38" s="246">
        <v>1</v>
      </c>
      <c r="J38" s="247">
        <v>0.6</v>
      </c>
      <c r="K38" s="248">
        <f t="shared" si="16"/>
        <v>42</v>
      </c>
      <c r="L38" s="249">
        <v>26</v>
      </c>
      <c r="M38" s="248">
        <v>16</v>
      </c>
    </row>
    <row r="39" spans="1:13" ht="81.75" customHeight="1">
      <c r="A39" s="197"/>
      <c r="B39" s="228"/>
      <c r="C39" s="198" t="s">
        <v>194</v>
      </c>
      <c r="D39" s="198" t="s">
        <v>250</v>
      </c>
      <c r="E39" s="198" t="s">
        <v>251</v>
      </c>
      <c r="F39" s="198"/>
      <c r="G39" s="198">
        <v>107.5</v>
      </c>
      <c r="H39" s="200">
        <f t="shared" si="13"/>
        <v>96.75</v>
      </c>
      <c r="I39" s="246">
        <v>0.02</v>
      </c>
      <c r="J39" s="247">
        <v>0.6</v>
      </c>
      <c r="K39" s="248">
        <f t="shared" si="16"/>
        <v>2</v>
      </c>
      <c r="L39" s="249">
        <f t="shared" si="15"/>
        <v>1</v>
      </c>
      <c r="M39" s="248">
        <f aca="true" t="shared" si="17" ref="M39:M43">ROUND(H39*I39*(1-J39),0)</f>
        <v>1</v>
      </c>
    </row>
    <row r="40" spans="1:13" ht="45.75" customHeight="1">
      <c r="A40" s="197" t="s">
        <v>252</v>
      </c>
      <c r="B40" s="198" t="s">
        <v>188</v>
      </c>
      <c r="C40" s="198" t="s">
        <v>189</v>
      </c>
      <c r="D40" s="198" t="s">
        <v>253</v>
      </c>
      <c r="E40" s="198" t="s">
        <v>236</v>
      </c>
      <c r="F40" s="198" t="s">
        <v>254</v>
      </c>
      <c r="G40" s="200">
        <v>84.24</v>
      </c>
      <c r="H40" s="200">
        <f t="shared" si="13"/>
        <v>75.816</v>
      </c>
      <c r="I40" s="246">
        <v>1</v>
      </c>
      <c r="J40" s="247">
        <v>0.6</v>
      </c>
      <c r="K40" s="248">
        <f t="shared" si="16"/>
        <v>76</v>
      </c>
      <c r="L40" s="249">
        <v>46</v>
      </c>
      <c r="M40" s="248">
        <v>30</v>
      </c>
    </row>
    <row r="41" spans="1:13" ht="57" customHeight="1">
      <c r="A41" s="197"/>
      <c r="B41" s="198" t="s">
        <v>188</v>
      </c>
      <c r="C41" s="198" t="s">
        <v>194</v>
      </c>
      <c r="D41" s="198" t="s">
        <v>255</v>
      </c>
      <c r="E41" s="198" t="s">
        <v>256</v>
      </c>
      <c r="F41" s="198"/>
      <c r="G41" s="200">
        <v>299.52</v>
      </c>
      <c r="H41" s="200">
        <f t="shared" si="13"/>
        <v>269.568</v>
      </c>
      <c r="I41" s="246">
        <v>0.05</v>
      </c>
      <c r="J41" s="247">
        <v>0.6</v>
      </c>
      <c r="K41" s="248">
        <v>14</v>
      </c>
      <c r="L41" s="249">
        <f t="shared" si="15"/>
        <v>8</v>
      </c>
      <c r="M41" s="248">
        <v>6</v>
      </c>
    </row>
    <row r="42" spans="1:13" ht="70.5" customHeight="1">
      <c r="A42" s="197" t="s">
        <v>257</v>
      </c>
      <c r="B42" s="201" t="s">
        <v>205</v>
      </c>
      <c r="C42" s="198" t="s">
        <v>189</v>
      </c>
      <c r="D42" s="198" t="s">
        <v>258</v>
      </c>
      <c r="E42" s="198" t="s">
        <v>259</v>
      </c>
      <c r="F42" s="198" t="s">
        <v>260</v>
      </c>
      <c r="G42" s="198">
        <v>323</v>
      </c>
      <c r="H42" s="200">
        <f t="shared" si="13"/>
        <v>290.7</v>
      </c>
      <c r="I42" s="250">
        <v>0.0485</v>
      </c>
      <c r="J42" s="247">
        <v>0.6</v>
      </c>
      <c r="K42" s="248">
        <f>ROUND(H42*I42,0)</f>
        <v>14</v>
      </c>
      <c r="L42" s="249">
        <f t="shared" si="15"/>
        <v>8</v>
      </c>
      <c r="M42" s="248">
        <f t="shared" si="17"/>
        <v>6</v>
      </c>
    </row>
    <row r="43" spans="1:13" ht="70.5" customHeight="1">
      <c r="A43" s="197"/>
      <c r="B43" s="201"/>
      <c r="C43" s="198" t="s">
        <v>194</v>
      </c>
      <c r="D43" s="198" t="s">
        <v>261</v>
      </c>
      <c r="E43" s="198" t="s">
        <v>262</v>
      </c>
      <c r="F43" s="198"/>
      <c r="G43" s="198">
        <v>323</v>
      </c>
      <c r="H43" s="200">
        <f t="shared" si="13"/>
        <v>290.7</v>
      </c>
      <c r="I43" s="246">
        <v>0.01</v>
      </c>
      <c r="J43" s="247">
        <v>0.6</v>
      </c>
      <c r="K43" s="248">
        <f>ROUND(H43*I43,0)</f>
        <v>3</v>
      </c>
      <c r="L43" s="249">
        <f t="shared" si="15"/>
        <v>2</v>
      </c>
      <c r="M43" s="248">
        <f t="shared" si="17"/>
        <v>1</v>
      </c>
    </row>
    <row r="44" spans="1:13" ht="103.5" customHeight="1">
      <c r="A44" s="229" t="s">
        <v>263</v>
      </c>
      <c r="B44" s="230"/>
      <c r="C44" s="230"/>
      <c r="D44" s="230"/>
      <c r="E44" s="230"/>
      <c r="F44" s="230"/>
      <c r="G44" s="230"/>
      <c r="H44" s="230"/>
      <c r="I44" s="257"/>
      <c r="J44" s="230"/>
      <c r="K44" s="230"/>
      <c r="L44" s="230"/>
      <c r="M44" s="258"/>
    </row>
  </sheetData>
  <sheetProtection/>
  <mergeCells count="47">
    <mergeCell ref="A2:M2"/>
    <mergeCell ref="K3:M3"/>
    <mergeCell ref="A6:F6"/>
    <mergeCell ref="A7:F7"/>
    <mergeCell ref="A8:F8"/>
    <mergeCell ref="A9:F9"/>
    <mergeCell ref="A10:F10"/>
    <mergeCell ref="A11:F11"/>
    <mergeCell ref="A20:F20"/>
    <mergeCell ref="A31:F31"/>
    <mergeCell ref="A44:M44"/>
    <mergeCell ref="A3:A5"/>
    <mergeCell ref="A12:A14"/>
    <mergeCell ref="A15:A17"/>
    <mergeCell ref="A18:A19"/>
    <mergeCell ref="A23:A25"/>
    <mergeCell ref="A26:A30"/>
    <mergeCell ref="A32:A33"/>
    <mergeCell ref="A34:A35"/>
    <mergeCell ref="A36:A37"/>
    <mergeCell ref="A38:A39"/>
    <mergeCell ref="A40:A41"/>
    <mergeCell ref="A42:A43"/>
    <mergeCell ref="B38:B39"/>
    <mergeCell ref="B42:B43"/>
    <mergeCell ref="C13:C14"/>
    <mergeCell ref="C15:C16"/>
    <mergeCell ref="C18:C19"/>
    <mergeCell ref="C23:C25"/>
    <mergeCell ref="C26:C28"/>
    <mergeCell ref="C29:C30"/>
    <mergeCell ref="E3:E5"/>
    <mergeCell ref="E23:E25"/>
    <mergeCell ref="E26:E28"/>
    <mergeCell ref="F3:F5"/>
    <mergeCell ref="F13:F16"/>
    <mergeCell ref="F18:F19"/>
    <mergeCell ref="F21:F25"/>
    <mergeCell ref="F26:F30"/>
    <mergeCell ref="F32:F39"/>
    <mergeCell ref="F40:F41"/>
    <mergeCell ref="F42:F43"/>
    <mergeCell ref="G3:G4"/>
    <mergeCell ref="H3:H4"/>
    <mergeCell ref="I3:I4"/>
    <mergeCell ref="J3:J4"/>
    <mergeCell ref="B3:D5"/>
  </mergeCells>
  <printOptions horizontalCentered="1"/>
  <pageMargins left="0.39305555555555555" right="0.39305555555555555" top="0.5902777777777778" bottom="0.7868055555555555" header="0.35" footer="0.20069444444444445"/>
  <pageSetup fitToHeight="0" fitToWidth="1" horizontalDpi="600" verticalDpi="600" orientation="portrait" paperSize="9" scale="59"/>
  <headerFooter scaleWithDoc="0" alignWithMargins="0">
    <oddFooter>&amp;C第 &amp;P 页，共 &amp;N 页</oddFooter>
  </headerFooter>
  <rowBreaks count="1" manualBreakCount="1">
    <brk id="25"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IV362"/>
  <sheetViews>
    <sheetView zoomScaleSheetLayoutView="100" workbookViewId="0" topLeftCell="B1">
      <selection activeCell="Q24" sqref="Q24"/>
    </sheetView>
  </sheetViews>
  <sheetFormatPr defaultColWidth="9.00390625" defaultRowHeight="15" customHeight="1"/>
  <cols>
    <col min="1" max="1" width="7.875" style="109" hidden="1" customWidth="1"/>
    <col min="2" max="2" width="14.00390625" style="110" customWidth="1"/>
    <col min="3" max="3" width="8.25390625" style="110" customWidth="1"/>
    <col min="4" max="4" width="7.875" style="110" customWidth="1"/>
    <col min="5" max="5" width="8.25390625" style="110" customWidth="1"/>
    <col min="6" max="6" width="8.00390625" style="111" customWidth="1"/>
    <col min="7" max="7" width="11.25390625" style="111" customWidth="1"/>
    <col min="8" max="8" width="8.375" style="112" customWidth="1"/>
    <col min="9" max="10" width="9.25390625" style="110" customWidth="1"/>
    <col min="11" max="11" width="8.25390625" style="110" customWidth="1"/>
    <col min="12" max="14" width="10.50390625" style="99" customWidth="1"/>
    <col min="15" max="216" width="9.00390625" style="99" customWidth="1"/>
    <col min="217" max="217" width="12.75390625" style="99" bestFit="1" customWidth="1"/>
    <col min="218" max="219" width="9.00390625" style="99" customWidth="1"/>
    <col min="220" max="16384" width="9.00390625" style="109" customWidth="1"/>
  </cols>
  <sheetData>
    <row r="1" ht="15" customHeight="1">
      <c r="B1" s="113" t="s">
        <v>264</v>
      </c>
    </row>
    <row r="2" spans="1:231" s="99" customFormat="1" ht="24" customHeight="1">
      <c r="A2" s="114" t="s">
        <v>265</v>
      </c>
      <c r="B2" s="114"/>
      <c r="C2" s="114"/>
      <c r="D2" s="114"/>
      <c r="E2" s="114"/>
      <c r="F2" s="114"/>
      <c r="G2" s="114"/>
      <c r="H2" s="112"/>
      <c r="I2" s="114"/>
      <c r="J2" s="114"/>
      <c r="K2" s="114"/>
      <c r="L2" s="114"/>
      <c r="M2" s="114"/>
      <c r="N2" s="114"/>
      <c r="HL2" s="109"/>
      <c r="HM2" s="109"/>
      <c r="HN2" s="109"/>
      <c r="HO2" s="109"/>
      <c r="HP2" s="109"/>
      <c r="HQ2" s="109"/>
      <c r="HR2" s="109"/>
      <c r="HS2" s="109"/>
      <c r="HT2" s="109"/>
      <c r="HU2" s="109"/>
      <c r="HV2" s="109"/>
      <c r="HW2" s="109"/>
    </row>
    <row r="3" spans="1:231" s="99" customFormat="1" ht="24" customHeight="1">
      <c r="A3" s="114"/>
      <c r="B3" s="114"/>
      <c r="C3" s="114"/>
      <c r="D3" s="114"/>
      <c r="E3" s="114"/>
      <c r="F3" s="114"/>
      <c r="G3" s="114"/>
      <c r="H3" s="112"/>
      <c r="I3" s="114"/>
      <c r="J3" s="114"/>
      <c r="K3" s="114"/>
      <c r="L3" s="114"/>
      <c r="M3" s="114"/>
      <c r="N3" s="114"/>
      <c r="HL3" s="109"/>
      <c r="HM3" s="109"/>
      <c r="HN3" s="109"/>
      <c r="HO3" s="109"/>
      <c r="HP3" s="109"/>
      <c r="HQ3" s="109"/>
      <c r="HR3" s="109"/>
      <c r="HS3" s="109"/>
      <c r="HT3" s="109"/>
      <c r="HU3" s="109"/>
      <c r="HV3" s="109"/>
      <c r="HW3" s="109"/>
    </row>
    <row r="4" spans="1:219" s="100" customFormat="1" ht="36" customHeight="1">
      <c r="A4" s="115" t="s">
        <v>3</v>
      </c>
      <c r="B4" s="116" t="s">
        <v>4</v>
      </c>
      <c r="C4" s="116" t="s">
        <v>266</v>
      </c>
      <c r="D4" s="116"/>
      <c r="E4" s="116"/>
      <c r="F4" s="116" t="s">
        <v>267</v>
      </c>
      <c r="G4" s="117" t="s">
        <v>268</v>
      </c>
      <c r="H4" s="118" t="s">
        <v>269</v>
      </c>
      <c r="I4" s="116" t="s">
        <v>18</v>
      </c>
      <c r="J4" s="116"/>
      <c r="K4" s="116"/>
      <c r="L4" s="116" t="s">
        <v>17</v>
      </c>
      <c r="M4" s="116"/>
      <c r="N4" s="11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row>
    <row r="5" spans="1:219" s="100" customFormat="1" ht="27" customHeight="1">
      <c r="A5" s="115"/>
      <c r="B5" s="116"/>
      <c r="C5" s="116" t="s">
        <v>270</v>
      </c>
      <c r="D5" s="116" t="s">
        <v>271</v>
      </c>
      <c r="E5" s="116" t="s">
        <v>272</v>
      </c>
      <c r="F5" s="116"/>
      <c r="G5" s="119"/>
      <c r="H5" s="118"/>
      <c r="I5" s="116" t="s">
        <v>273</v>
      </c>
      <c r="J5" s="116" t="s">
        <v>274</v>
      </c>
      <c r="K5" s="116" t="s">
        <v>275</v>
      </c>
      <c r="L5" s="116" t="s">
        <v>273</v>
      </c>
      <c r="M5" s="116" t="s">
        <v>274</v>
      </c>
      <c r="N5" s="116" t="s">
        <v>275</v>
      </c>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row>
    <row r="6" spans="1:14" s="101" customFormat="1" ht="33.75" customHeight="1">
      <c r="A6" s="120"/>
      <c r="B6" s="120" t="s">
        <v>22</v>
      </c>
      <c r="C6" s="120" t="s">
        <v>23</v>
      </c>
      <c r="D6" s="120" t="s">
        <v>24</v>
      </c>
      <c r="E6" s="120" t="s">
        <v>178</v>
      </c>
      <c r="F6" s="121" t="s">
        <v>26</v>
      </c>
      <c r="G6" s="121" t="s">
        <v>276</v>
      </c>
      <c r="H6" s="122" t="s">
        <v>28</v>
      </c>
      <c r="I6" s="121" t="s">
        <v>277</v>
      </c>
      <c r="J6" s="121" t="s">
        <v>278</v>
      </c>
      <c r="K6" s="121" t="s">
        <v>279</v>
      </c>
      <c r="L6" s="121" t="s">
        <v>280</v>
      </c>
      <c r="M6" s="121" t="s">
        <v>281</v>
      </c>
      <c r="N6" s="121" t="s">
        <v>282</v>
      </c>
    </row>
    <row r="7" spans="1:219" s="102" customFormat="1" ht="29.25" customHeight="1">
      <c r="A7" s="123"/>
      <c r="B7" s="124" t="s">
        <v>283</v>
      </c>
      <c r="C7" s="125">
        <f aca="true" t="shared" si="0" ref="C7:G7">C10+C18</f>
        <v>1534289</v>
      </c>
      <c r="D7" s="125">
        <f t="shared" si="0"/>
        <v>1323200</v>
      </c>
      <c r="E7" s="125">
        <f t="shared" si="0"/>
        <v>1285171</v>
      </c>
      <c r="F7" s="126">
        <f aca="true" t="shared" si="1" ref="F7:F11">(E7/C7)^(1/2)-1</f>
        <v>-0.08477711120851683</v>
      </c>
      <c r="G7" s="125">
        <f t="shared" si="0"/>
        <v>0</v>
      </c>
      <c r="H7" s="127">
        <v>0.8</v>
      </c>
      <c r="I7" s="125">
        <f aca="true" t="shared" si="2" ref="I7:N7">I10+I18</f>
        <v>1093361</v>
      </c>
      <c r="J7" s="125">
        <f t="shared" si="2"/>
        <v>1031723</v>
      </c>
      <c r="K7" s="125">
        <f t="shared" si="2"/>
        <v>983267</v>
      </c>
      <c r="L7" s="125">
        <f t="shared" si="2"/>
        <v>873518</v>
      </c>
      <c r="M7" s="125">
        <f t="shared" si="2"/>
        <v>824882</v>
      </c>
      <c r="N7" s="125">
        <f t="shared" si="2"/>
        <v>786459</v>
      </c>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row>
    <row r="8" spans="1:256" s="103" customFormat="1" ht="16.5" customHeight="1">
      <c r="A8" s="82"/>
      <c r="B8" s="128" t="s">
        <v>284</v>
      </c>
      <c r="C8" s="89"/>
      <c r="D8" s="89"/>
      <c r="E8" s="89"/>
      <c r="F8" s="89"/>
      <c r="G8" s="89"/>
      <c r="H8" s="89"/>
      <c r="I8" s="89"/>
      <c r="J8" s="89"/>
      <c r="K8" s="89"/>
      <c r="L8" s="89"/>
      <c r="M8" s="89"/>
      <c r="N8" s="8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153"/>
      <c r="BY8" s="153"/>
      <c r="BZ8" s="153"/>
      <c r="CA8" s="153"/>
      <c r="CB8" s="153"/>
      <c r="CC8" s="153"/>
      <c r="CD8" s="153"/>
      <c r="CE8" s="153"/>
      <c r="CF8" s="153"/>
      <c r="CG8" s="153"/>
      <c r="CH8" s="153"/>
      <c r="CI8" s="153"/>
      <c r="CJ8" s="153"/>
      <c r="CK8" s="153"/>
      <c r="CL8" s="153"/>
      <c r="CM8" s="153"/>
      <c r="CN8" s="153"/>
      <c r="CO8" s="153"/>
      <c r="CP8" s="153"/>
      <c r="CQ8" s="153"/>
      <c r="CR8" s="153"/>
      <c r="CS8" s="153"/>
      <c r="CT8" s="153"/>
      <c r="CU8" s="153"/>
      <c r="CV8" s="153"/>
      <c r="CW8" s="153"/>
      <c r="CX8" s="153"/>
      <c r="CY8" s="153"/>
      <c r="CZ8" s="153"/>
      <c r="DA8" s="153"/>
      <c r="DB8" s="153"/>
      <c r="DC8" s="153"/>
      <c r="DD8" s="153"/>
      <c r="DE8" s="153"/>
      <c r="DF8" s="153"/>
      <c r="DG8" s="153"/>
      <c r="DH8" s="153"/>
      <c r="DI8" s="153"/>
      <c r="DJ8" s="153"/>
      <c r="DK8" s="153"/>
      <c r="DL8" s="153"/>
      <c r="DM8" s="153"/>
      <c r="DN8" s="153"/>
      <c r="DO8" s="153"/>
      <c r="DP8" s="153"/>
      <c r="DQ8" s="153"/>
      <c r="DR8" s="153"/>
      <c r="DS8" s="153"/>
      <c r="DT8" s="153"/>
      <c r="DU8" s="153"/>
      <c r="DV8" s="153"/>
      <c r="DW8" s="153"/>
      <c r="DX8" s="153"/>
      <c r="DY8" s="153"/>
      <c r="DZ8" s="153"/>
      <c r="EA8" s="153"/>
      <c r="EB8" s="153"/>
      <c r="EC8" s="153"/>
      <c r="ED8" s="153"/>
      <c r="EE8" s="153"/>
      <c r="EF8" s="153"/>
      <c r="EG8" s="153"/>
      <c r="EH8" s="153"/>
      <c r="EI8" s="153"/>
      <c r="EJ8" s="153"/>
      <c r="EK8" s="153"/>
      <c r="EL8" s="153"/>
      <c r="EM8" s="153"/>
      <c r="EN8" s="153"/>
      <c r="EO8" s="153"/>
      <c r="EP8" s="153"/>
      <c r="EQ8" s="153"/>
      <c r="ER8" s="153"/>
      <c r="ES8" s="153"/>
      <c r="ET8" s="153"/>
      <c r="EU8" s="153"/>
      <c r="EV8" s="153"/>
      <c r="EW8" s="153"/>
      <c r="EX8" s="153"/>
      <c r="EY8" s="153"/>
      <c r="EZ8" s="153"/>
      <c r="FA8" s="153"/>
      <c r="FB8" s="153"/>
      <c r="FC8" s="153"/>
      <c r="FD8" s="153"/>
      <c r="FE8" s="153"/>
      <c r="FF8" s="153"/>
      <c r="FG8" s="153"/>
      <c r="FH8" s="153"/>
      <c r="FI8" s="153"/>
      <c r="FJ8" s="153"/>
      <c r="FK8" s="153"/>
      <c r="FL8" s="153"/>
      <c r="FM8" s="153"/>
      <c r="FN8" s="153"/>
      <c r="FO8" s="153"/>
      <c r="FP8" s="153"/>
      <c r="FQ8" s="153"/>
      <c r="FR8" s="153"/>
      <c r="FS8" s="153"/>
      <c r="FT8" s="153"/>
      <c r="FU8" s="153"/>
      <c r="FV8" s="153"/>
      <c r="FW8" s="153"/>
      <c r="FX8" s="153"/>
      <c r="FY8" s="153"/>
      <c r="FZ8" s="153"/>
      <c r="GA8" s="153"/>
      <c r="GB8" s="153"/>
      <c r="GC8" s="153"/>
      <c r="GD8" s="153"/>
      <c r="GE8" s="153"/>
      <c r="GF8" s="153"/>
      <c r="GG8" s="153"/>
      <c r="GH8" s="153"/>
      <c r="GI8" s="153"/>
      <c r="GJ8" s="153"/>
      <c r="GK8" s="153"/>
      <c r="GL8" s="153"/>
      <c r="GM8" s="153"/>
      <c r="GN8" s="153"/>
      <c r="GO8" s="153"/>
      <c r="GP8" s="153"/>
      <c r="GQ8" s="153"/>
      <c r="GR8" s="153"/>
      <c r="GS8" s="153"/>
      <c r="GT8" s="153"/>
      <c r="GU8" s="153"/>
      <c r="GV8" s="153"/>
      <c r="GW8" s="153"/>
      <c r="GX8" s="153"/>
      <c r="GY8" s="153"/>
      <c r="GZ8" s="153"/>
      <c r="HA8" s="153"/>
      <c r="HB8" s="153"/>
      <c r="HC8" s="153"/>
      <c r="HD8" s="153"/>
      <c r="HE8" s="153"/>
      <c r="HF8" s="153"/>
      <c r="HG8" s="153"/>
      <c r="HH8" s="153"/>
      <c r="HI8" s="153"/>
      <c r="HJ8" s="153"/>
      <c r="HK8" s="153"/>
      <c r="HL8" s="153"/>
      <c r="HM8" s="153"/>
      <c r="HN8" s="153"/>
      <c r="HO8" s="153"/>
      <c r="HP8" s="153"/>
      <c r="HQ8" s="153"/>
      <c r="HR8" s="153"/>
      <c r="HS8" s="153"/>
      <c r="HT8" s="153"/>
      <c r="HU8" s="153"/>
      <c r="HV8" s="153"/>
      <c r="HW8" s="153"/>
      <c r="HX8" s="153"/>
      <c r="HY8" s="154"/>
      <c r="HZ8" s="154"/>
      <c r="IA8" s="154"/>
      <c r="IB8" s="154"/>
      <c r="IC8" s="154"/>
      <c r="ID8" s="154"/>
      <c r="IE8" s="154"/>
      <c r="IF8" s="154"/>
      <c r="IG8" s="154"/>
      <c r="IH8" s="154"/>
      <c r="II8" s="154"/>
      <c r="IJ8" s="154"/>
      <c r="IK8" s="154"/>
      <c r="IL8" s="154"/>
      <c r="IM8" s="154"/>
      <c r="IN8" s="154"/>
      <c r="IO8" s="154"/>
      <c r="IP8" s="154"/>
      <c r="IQ8" s="154"/>
      <c r="IR8" s="154"/>
      <c r="IS8" s="154"/>
      <c r="IT8" s="154"/>
      <c r="IU8" s="154"/>
      <c r="IV8" s="154"/>
    </row>
    <row r="9" spans="1:256" s="104" customFormat="1" ht="16.5" customHeight="1">
      <c r="A9" s="96">
        <v>174007</v>
      </c>
      <c r="B9" s="83" t="s">
        <v>39</v>
      </c>
      <c r="C9" s="83"/>
      <c r="D9" s="83"/>
      <c r="E9" s="83"/>
      <c r="F9" s="129"/>
      <c r="G9" s="129"/>
      <c r="H9" s="129"/>
      <c r="I9" s="140"/>
      <c r="J9" s="140"/>
      <c r="K9" s="140"/>
      <c r="L9" s="140"/>
      <c r="M9" s="140"/>
      <c r="N9" s="140"/>
      <c r="O9" s="141"/>
      <c r="P9" s="142"/>
      <c r="Q9" s="146"/>
      <c r="R9" s="142"/>
      <c r="S9" s="142"/>
      <c r="T9" s="146"/>
      <c r="U9" s="142"/>
      <c r="V9" s="142"/>
      <c r="W9" s="146"/>
      <c r="X9" s="142"/>
      <c r="Y9" s="142"/>
      <c r="Z9" s="146"/>
      <c r="AA9" s="147"/>
      <c r="AB9" s="148"/>
      <c r="AC9" s="147"/>
      <c r="AD9" s="148"/>
      <c r="AE9" s="149"/>
      <c r="AF9" s="149"/>
      <c r="AG9" s="149"/>
      <c r="AH9" s="149"/>
      <c r="AI9" s="150"/>
      <c r="AJ9" s="151"/>
      <c r="AK9" s="151"/>
      <c r="AL9" s="152"/>
      <c r="AM9" s="152"/>
      <c r="AN9" s="152"/>
      <c r="AO9" s="150"/>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54"/>
      <c r="HM9" s="154"/>
      <c r="HN9" s="154"/>
      <c r="HO9" s="154"/>
      <c r="HP9" s="154"/>
      <c r="HQ9" s="154"/>
      <c r="HR9" s="154"/>
      <c r="HS9" s="154"/>
      <c r="HT9" s="154"/>
      <c r="HU9" s="154"/>
      <c r="HV9" s="154"/>
      <c r="HW9" s="154"/>
      <c r="HX9" s="154"/>
      <c r="HY9" s="159"/>
      <c r="HZ9" s="159"/>
      <c r="IA9" s="159"/>
      <c r="IB9" s="159"/>
      <c r="IC9" s="159"/>
      <c r="ID9" s="159"/>
      <c r="IE9" s="159"/>
      <c r="IF9" s="159"/>
      <c r="IG9" s="159"/>
      <c r="IH9" s="159"/>
      <c r="II9" s="159"/>
      <c r="IJ9" s="159"/>
      <c r="IK9" s="154"/>
      <c r="IL9" s="154"/>
      <c r="IM9" s="154"/>
      <c r="IN9" s="154"/>
      <c r="IO9" s="154"/>
      <c r="IP9" s="154"/>
      <c r="IQ9" s="154"/>
      <c r="IR9" s="154"/>
      <c r="IS9" s="154"/>
      <c r="IT9" s="154"/>
      <c r="IU9" s="154"/>
      <c r="IV9" s="154"/>
    </row>
    <row r="10" spans="1:256" s="105" customFormat="1" ht="12.75" customHeight="1">
      <c r="A10" s="130"/>
      <c r="B10" s="120" t="s">
        <v>285</v>
      </c>
      <c r="C10" s="120">
        <f>SUM(C11:C17)</f>
        <v>561913</v>
      </c>
      <c r="D10" s="120">
        <f>SUM(D11:D17)</f>
        <v>495910</v>
      </c>
      <c r="E10" s="120">
        <f>SUM(E11:E17)</f>
        <v>498473</v>
      </c>
      <c r="F10" s="131">
        <f t="shared" si="1"/>
        <v>-0.05814015888023916</v>
      </c>
      <c r="G10" s="120"/>
      <c r="H10" s="132">
        <v>0.8</v>
      </c>
      <c r="I10" s="120">
        <f aca="true" t="shared" si="3" ref="I10:N10">SUM(I11:I17)</f>
        <v>455710</v>
      </c>
      <c r="J10" s="120">
        <f t="shared" si="3"/>
        <v>441936</v>
      </c>
      <c r="K10" s="120">
        <f t="shared" si="3"/>
        <v>433330</v>
      </c>
      <c r="L10" s="120">
        <f t="shared" si="3"/>
        <v>364568</v>
      </c>
      <c r="M10" s="120">
        <f t="shared" si="3"/>
        <v>353549</v>
      </c>
      <c r="N10" s="120">
        <f t="shared" si="3"/>
        <v>346664</v>
      </c>
      <c r="HL10" s="155"/>
      <c r="HM10" s="155"/>
      <c r="HN10" s="155"/>
      <c r="HO10" s="155"/>
      <c r="HP10" s="155"/>
      <c r="HQ10" s="155"/>
      <c r="HR10" s="155"/>
      <c r="HS10" s="155"/>
      <c r="HT10" s="155"/>
      <c r="HU10" s="155"/>
      <c r="HV10" s="155"/>
      <c r="HW10" s="155"/>
      <c r="HX10" s="158"/>
      <c r="HY10" s="158"/>
      <c r="HZ10" s="158"/>
      <c r="IA10" s="158"/>
      <c r="IB10" s="158"/>
      <c r="IC10" s="158"/>
      <c r="ID10" s="158"/>
      <c r="IE10" s="158"/>
      <c r="IF10" s="158"/>
      <c r="IG10" s="158"/>
      <c r="IH10" s="158"/>
      <c r="II10" s="158"/>
      <c r="IJ10" s="158"/>
      <c r="IK10" s="158"/>
      <c r="IL10" s="158"/>
      <c r="IM10" s="158"/>
      <c r="IN10" s="158"/>
      <c r="IO10" s="158"/>
      <c r="IP10" s="158"/>
      <c r="IQ10" s="158"/>
      <c r="IR10" s="158"/>
      <c r="IS10" s="158"/>
      <c r="IT10" s="158"/>
      <c r="IU10" s="158"/>
      <c r="IV10" s="158"/>
    </row>
    <row r="11" spans="1:231" s="99" customFormat="1" ht="16.5" customHeight="1">
      <c r="A11" s="130"/>
      <c r="B11" s="83" t="s">
        <v>286</v>
      </c>
      <c r="C11" s="120">
        <v>183614</v>
      </c>
      <c r="D11" s="120">
        <v>150833</v>
      </c>
      <c r="E11" s="120">
        <v>156386</v>
      </c>
      <c r="F11" s="131">
        <f t="shared" si="1"/>
        <v>-0.07711828825590594</v>
      </c>
      <c r="G11" s="120"/>
      <c r="H11" s="132">
        <v>0.8</v>
      </c>
      <c r="I11" s="120">
        <f aca="true" t="shared" si="4" ref="I11:I17">ROUND(E11*(1+$F11)^2,0)</f>
        <v>133196</v>
      </c>
      <c r="J11" s="120">
        <f aca="true" t="shared" si="5" ref="J11:K17">ROUND(I11*(1+$F11),0)</f>
        <v>122924</v>
      </c>
      <c r="K11" s="120">
        <f t="shared" si="5"/>
        <v>113444</v>
      </c>
      <c r="L11" s="143">
        <f aca="true" t="shared" si="6" ref="L11:N17">ROUND(I11*$H11,0)</f>
        <v>106557</v>
      </c>
      <c r="M11" s="143">
        <f t="shared" si="6"/>
        <v>98339</v>
      </c>
      <c r="N11" s="143">
        <f t="shared" si="6"/>
        <v>90755</v>
      </c>
      <c r="HL11" s="156"/>
      <c r="HM11" s="156"/>
      <c r="HN11" s="156"/>
      <c r="HO11" s="156"/>
      <c r="HP11" s="156"/>
      <c r="HQ11" s="156"/>
      <c r="HR11" s="156"/>
      <c r="HS11" s="156"/>
      <c r="HT11" s="156"/>
      <c r="HU11" s="156"/>
      <c r="HV11" s="156"/>
      <c r="HW11" s="156"/>
    </row>
    <row r="12" spans="1:231" s="99" customFormat="1" ht="16.5" customHeight="1">
      <c r="A12" s="130"/>
      <c r="B12" s="83" t="s">
        <v>287</v>
      </c>
      <c r="C12" s="120">
        <v>131837</v>
      </c>
      <c r="D12" s="120">
        <v>114035</v>
      </c>
      <c r="E12" s="120">
        <v>121719</v>
      </c>
      <c r="F12" s="131">
        <f aca="true" t="shared" si="7" ref="F11:F18">(E12/C12)^(1/2)-1</f>
        <v>-0.03913907623709356</v>
      </c>
      <c r="G12" s="120"/>
      <c r="H12" s="132">
        <v>0.8</v>
      </c>
      <c r="I12" s="120">
        <f t="shared" si="4"/>
        <v>112378</v>
      </c>
      <c r="J12" s="120">
        <f t="shared" si="5"/>
        <v>107980</v>
      </c>
      <c r="K12" s="120">
        <f t="shared" si="5"/>
        <v>103754</v>
      </c>
      <c r="L12" s="143">
        <f t="shared" si="6"/>
        <v>89902</v>
      </c>
      <c r="M12" s="143">
        <f t="shared" si="6"/>
        <v>86384</v>
      </c>
      <c r="N12" s="143">
        <f t="shared" si="6"/>
        <v>83003</v>
      </c>
      <c r="HL12" s="156"/>
      <c r="HM12" s="156"/>
      <c r="HN12" s="156"/>
      <c r="HO12" s="156"/>
      <c r="HP12" s="156"/>
      <c r="HQ12" s="156"/>
      <c r="HR12" s="156"/>
      <c r="HS12" s="156"/>
      <c r="HT12" s="156"/>
      <c r="HU12" s="156"/>
      <c r="HV12" s="156"/>
      <c r="HW12" s="156"/>
    </row>
    <row r="13" spans="1:231" s="99" customFormat="1" ht="16.5" customHeight="1">
      <c r="A13" s="130"/>
      <c r="B13" s="83" t="s">
        <v>288</v>
      </c>
      <c r="C13" s="120">
        <v>27178</v>
      </c>
      <c r="D13" s="120">
        <v>20527</v>
      </c>
      <c r="E13" s="120">
        <v>20564</v>
      </c>
      <c r="F13" s="131">
        <f t="shared" si="7"/>
        <v>-0.1301486327347242</v>
      </c>
      <c r="G13" s="120"/>
      <c r="H13" s="132">
        <v>0.8</v>
      </c>
      <c r="I13" s="120">
        <f t="shared" si="4"/>
        <v>15560</v>
      </c>
      <c r="J13" s="120">
        <f t="shared" si="5"/>
        <v>13535</v>
      </c>
      <c r="K13" s="120">
        <f t="shared" si="5"/>
        <v>11773</v>
      </c>
      <c r="L13" s="143">
        <f t="shared" si="6"/>
        <v>12448</v>
      </c>
      <c r="M13" s="143">
        <f t="shared" si="6"/>
        <v>10828</v>
      </c>
      <c r="N13" s="143">
        <f t="shared" si="6"/>
        <v>9418</v>
      </c>
      <c r="HL13" s="156"/>
      <c r="HM13" s="156"/>
      <c r="HN13" s="156"/>
      <c r="HO13" s="156"/>
      <c r="HP13" s="156"/>
      <c r="HQ13" s="156"/>
      <c r="HR13" s="156"/>
      <c r="HS13" s="156"/>
      <c r="HT13" s="156"/>
      <c r="HU13" s="156"/>
      <c r="HV13" s="156"/>
      <c r="HW13" s="156"/>
    </row>
    <row r="14" spans="1:231" s="99" customFormat="1" ht="16.5" customHeight="1">
      <c r="A14" s="130"/>
      <c r="B14" s="83" t="s">
        <v>289</v>
      </c>
      <c r="C14" s="120">
        <v>98215</v>
      </c>
      <c r="D14" s="120">
        <v>83269</v>
      </c>
      <c r="E14" s="120">
        <v>78869</v>
      </c>
      <c r="F14" s="131">
        <f t="shared" si="7"/>
        <v>-0.10388394835968229</v>
      </c>
      <c r="G14" s="120"/>
      <c r="H14" s="132">
        <v>0.8</v>
      </c>
      <c r="I14" s="120">
        <f t="shared" si="4"/>
        <v>63334</v>
      </c>
      <c r="J14" s="120">
        <f t="shared" si="5"/>
        <v>56755</v>
      </c>
      <c r="K14" s="120">
        <f t="shared" si="5"/>
        <v>50859</v>
      </c>
      <c r="L14" s="143">
        <f t="shared" si="6"/>
        <v>50667</v>
      </c>
      <c r="M14" s="143">
        <f t="shared" si="6"/>
        <v>45404</v>
      </c>
      <c r="N14" s="143">
        <f t="shared" si="6"/>
        <v>40687</v>
      </c>
      <c r="HL14" s="156"/>
      <c r="HM14" s="156"/>
      <c r="HN14" s="156"/>
      <c r="HO14" s="156"/>
      <c r="HP14" s="156"/>
      <c r="HQ14" s="156"/>
      <c r="HR14" s="156"/>
      <c r="HS14" s="156"/>
      <c r="HT14" s="156"/>
      <c r="HU14" s="156"/>
      <c r="HV14" s="156"/>
      <c r="HW14" s="156"/>
    </row>
    <row r="15" spans="1:231" s="99" customFormat="1" ht="16.5" customHeight="1">
      <c r="A15" s="130"/>
      <c r="B15" s="83" t="s">
        <v>290</v>
      </c>
      <c r="C15" s="120">
        <v>45716</v>
      </c>
      <c r="D15" s="120">
        <v>64749</v>
      </c>
      <c r="E15" s="120">
        <v>62897</v>
      </c>
      <c r="F15" s="131">
        <f t="shared" si="7"/>
        <v>0.1729536571149921</v>
      </c>
      <c r="G15" s="120"/>
      <c r="H15" s="132">
        <v>0.8</v>
      </c>
      <c r="I15" s="120">
        <f t="shared" si="4"/>
        <v>86535</v>
      </c>
      <c r="J15" s="120">
        <f t="shared" si="5"/>
        <v>101502</v>
      </c>
      <c r="K15" s="120">
        <f t="shared" si="5"/>
        <v>119057</v>
      </c>
      <c r="L15" s="143">
        <f t="shared" si="6"/>
        <v>69228</v>
      </c>
      <c r="M15" s="143">
        <f t="shared" si="6"/>
        <v>81202</v>
      </c>
      <c r="N15" s="143">
        <f t="shared" si="6"/>
        <v>95246</v>
      </c>
      <c r="HL15" s="156"/>
      <c r="HM15" s="156"/>
      <c r="HN15" s="156"/>
      <c r="HO15" s="156"/>
      <c r="HP15" s="156"/>
      <c r="HQ15" s="156"/>
      <c r="HR15" s="156"/>
      <c r="HS15" s="156"/>
      <c r="HT15" s="156"/>
      <c r="HU15" s="156"/>
      <c r="HV15" s="156"/>
      <c r="HW15" s="156"/>
    </row>
    <row r="16" spans="1:231" s="99" customFormat="1" ht="16.5" customHeight="1">
      <c r="A16" s="130"/>
      <c r="B16" s="83" t="s">
        <v>291</v>
      </c>
      <c r="C16" s="120">
        <v>43727</v>
      </c>
      <c r="D16" s="120">
        <v>35753</v>
      </c>
      <c r="E16" s="120">
        <v>34006</v>
      </c>
      <c r="F16" s="131">
        <f t="shared" si="7"/>
        <v>-0.11813331952377826</v>
      </c>
      <c r="G16" s="120"/>
      <c r="H16" s="132">
        <v>0.8</v>
      </c>
      <c r="I16" s="120">
        <f t="shared" si="4"/>
        <v>26446</v>
      </c>
      <c r="J16" s="120">
        <f t="shared" si="5"/>
        <v>23322</v>
      </c>
      <c r="K16" s="120">
        <f t="shared" si="5"/>
        <v>20567</v>
      </c>
      <c r="L16" s="143">
        <f t="shared" si="6"/>
        <v>21157</v>
      </c>
      <c r="M16" s="143">
        <f t="shared" si="6"/>
        <v>18658</v>
      </c>
      <c r="N16" s="143">
        <f t="shared" si="6"/>
        <v>16454</v>
      </c>
      <c r="HL16" s="156"/>
      <c r="HM16" s="156"/>
      <c r="HN16" s="156"/>
      <c r="HO16" s="156"/>
      <c r="HP16" s="156"/>
      <c r="HQ16" s="156"/>
      <c r="HR16" s="156"/>
      <c r="HS16" s="156"/>
      <c r="HT16" s="156"/>
      <c r="HU16" s="156"/>
      <c r="HV16" s="156"/>
      <c r="HW16" s="156"/>
    </row>
    <row r="17" spans="1:231" s="99" customFormat="1" ht="27.75" customHeight="1">
      <c r="A17" s="130"/>
      <c r="B17" s="83" t="s">
        <v>292</v>
      </c>
      <c r="C17" s="120">
        <v>31626</v>
      </c>
      <c r="D17" s="120">
        <v>26744</v>
      </c>
      <c r="E17" s="120">
        <v>24032</v>
      </c>
      <c r="F17" s="131">
        <f t="shared" si="7"/>
        <v>-0.12828840177572487</v>
      </c>
      <c r="G17" s="120"/>
      <c r="H17" s="132">
        <v>0.8</v>
      </c>
      <c r="I17" s="120">
        <f t="shared" si="4"/>
        <v>18261</v>
      </c>
      <c r="J17" s="120">
        <f t="shared" si="5"/>
        <v>15918</v>
      </c>
      <c r="K17" s="120">
        <f t="shared" si="5"/>
        <v>13876</v>
      </c>
      <c r="L17" s="143">
        <f t="shared" si="6"/>
        <v>14609</v>
      </c>
      <c r="M17" s="143">
        <f t="shared" si="6"/>
        <v>12734</v>
      </c>
      <c r="N17" s="143">
        <f t="shared" si="6"/>
        <v>11101</v>
      </c>
      <c r="HL17" s="156"/>
      <c r="HM17" s="156"/>
      <c r="HN17" s="156"/>
      <c r="HO17" s="156"/>
      <c r="HP17" s="156"/>
      <c r="HQ17" s="156"/>
      <c r="HR17" s="156"/>
      <c r="HS17" s="156"/>
      <c r="HT17" s="156"/>
      <c r="HU17" s="156"/>
      <c r="HV17" s="156"/>
      <c r="HW17" s="156"/>
    </row>
    <row r="18" spans="1:219" s="102" customFormat="1" ht="23.25" customHeight="1">
      <c r="A18" s="123"/>
      <c r="B18" s="124" t="s">
        <v>293</v>
      </c>
      <c r="C18" s="124">
        <f>SUM(C19:C33)</f>
        <v>972376</v>
      </c>
      <c r="D18" s="124">
        <f>SUM(D19:D33)</f>
        <v>827290</v>
      </c>
      <c r="E18" s="124">
        <f>SUM(E19:E33)</f>
        <v>786698</v>
      </c>
      <c r="F18" s="133">
        <f t="shared" si="7"/>
        <v>-0.1005295349062777</v>
      </c>
      <c r="G18" s="124"/>
      <c r="H18" s="127">
        <v>0.8</v>
      </c>
      <c r="I18" s="124">
        <f>SUM(I19:I33)</f>
        <v>637651</v>
      </c>
      <c r="J18" s="124">
        <f aca="true" t="shared" si="8" ref="I18:N18">SUM(J19:J33)</f>
        <v>589787</v>
      </c>
      <c r="K18" s="124">
        <f t="shared" si="8"/>
        <v>549937</v>
      </c>
      <c r="L18" s="124">
        <f t="shared" si="8"/>
        <v>508950</v>
      </c>
      <c r="M18" s="124">
        <f t="shared" si="8"/>
        <v>471333</v>
      </c>
      <c r="N18" s="124">
        <f t="shared" si="8"/>
        <v>439795</v>
      </c>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138"/>
      <c r="CS18" s="138"/>
      <c r="CT18" s="138"/>
      <c r="CU18" s="138"/>
      <c r="CV18" s="138"/>
      <c r="CW18" s="138"/>
      <c r="CX18" s="138"/>
      <c r="CY18" s="138"/>
      <c r="CZ18" s="138"/>
      <c r="DA18" s="138"/>
      <c r="DB18" s="138"/>
      <c r="DC18" s="138"/>
      <c r="DD18" s="138"/>
      <c r="DE18" s="138"/>
      <c r="DF18" s="138"/>
      <c r="DG18" s="138"/>
      <c r="DH18" s="138"/>
      <c r="DI18" s="138"/>
      <c r="DJ18" s="138"/>
      <c r="DK18" s="138"/>
      <c r="DL18" s="138"/>
      <c r="DM18" s="138"/>
      <c r="DN18" s="138"/>
      <c r="DO18" s="138"/>
      <c r="DP18" s="138"/>
      <c r="DQ18" s="138"/>
      <c r="DR18" s="138"/>
      <c r="DS18" s="138"/>
      <c r="DT18" s="138"/>
      <c r="DU18" s="138"/>
      <c r="DV18" s="138"/>
      <c r="DW18" s="138"/>
      <c r="DX18" s="138"/>
      <c r="DY18" s="138"/>
      <c r="DZ18" s="138"/>
      <c r="EA18" s="138"/>
      <c r="EB18" s="138"/>
      <c r="EC18" s="138"/>
      <c r="ED18" s="138"/>
      <c r="EE18" s="138"/>
      <c r="EF18" s="138"/>
      <c r="EG18" s="138"/>
      <c r="EH18" s="138"/>
      <c r="EI18" s="138"/>
      <c r="EJ18" s="138"/>
      <c r="EK18" s="138"/>
      <c r="EL18" s="138"/>
      <c r="EM18" s="138"/>
      <c r="EN18" s="138"/>
      <c r="EO18" s="138"/>
      <c r="EP18" s="138"/>
      <c r="EQ18" s="138"/>
      <c r="ER18" s="138"/>
      <c r="ES18" s="138"/>
      <c r="ET18" s="138"/>
      <c r="EU18" s="138"/>
      <c r="EV18" s="138"/>
      <c r="EW18" s="138"/>
      <c r="EX18" s="138"/>
      <c r="EY18" s="138"/>
      <c r="EZ18" s="138"/>
      <c r="FA18" s="138"/>
      <c r="FB18" s="138"/>
      <c r="FC18" s="138"/>
      <c r="FD18" s="138"/>
      <c r="FE18" s="138"/>
      <c r="FF18" s="138"/>
      <c r="FG18" s="138"/>
      <c r="FH18" s="138"/>
      <c r="FI18" s="138"/>
      <c r="FJ18" s="138"/>
      <c r="FK18" s="138"/>
      <c r="FL18" s="138"/>
      <c r="FM18" s="138"/>
      <c r="FN18" s="138"/>
      <c r="FO18" s="138"/>
      <c r="FP18" s="138"/>
      <c r="FQ18" s="138"/>
      <c r="FR18" s="138"/>
      <c r="FS18" s="138"/>
      <c r="FT18" s="138"/>
      <c r="FU18" s="138"/>
      <c r="FV18" s="138"/>
      <c r="FW18" s="138"/>
      <c r="FX18" s="138"/>
      <c r="FY18" s="138"/>
      <c r="FZ18" s="138"/>
      <c r="GA18" s="138"/>
      <c r="GB18" s="138"/>
      <c r="GC18" s="138"/>
      <c r="GD18" s="138"/>
      <c r="GE18" s="138"/>
      <c r="GF18" s="138"/>
      <c r="GG18" s="138"/>
      <c r="GH18" s="138"/>
      <c r="GI18" s="138"/>
      <c r="GJ18" s="138"/>
      <c r="GK18" s="138"/>
      <c r="GL18" s="138"/>
      <c r="GM18" s="138"/>
      <c r="GN18" s="138"/>
      <c r="GO18" s="138"/>
      <c r="GP18" s="138"/>
      <c r="GQ18" s="138"/>
      <c r="GR18" s="138"/>
      <c r="GS18" s="138"/>
      <c r="GT18" s="138"/>
      <c r="GU18" s="138"/>
      <c r="GV18" s="138"/>
      <c r="GW18" s="138"/>
      <c r="GX18" s="138"/>
      <c r="GY18" s="138"/>
      <c r="GZ18" s="138"/>
      <c r="HA18" s="138"/>
      <c r="HB18" s="138"/>
      <c r="HC18" s="138"/>
      <c r="HD18" s="138"/>
      <c r="HE18" s="138"/>
      <c r="HF18" s="138"/>
      <c r="HG18" s="138"/>
      <c r="HH18" s="138"/>
      <c r="HI18" s="138"/>
      <c r="HJ18" s="138"/>
      <c r="HK18" s="138"/>
    </row>
    <row r="19" spans="1:14" s="99" customFormat="1" ht="15" customHeight="1">
      <c r="A19" s="134"/>
      <c r="B19" s="83" t="s">
        <v>41</v>
      </c>
      <c r="C19" s="130">
        <f>C34</f>
        <v>79003</v>
      </c>
      <c r="D19" s="130">
        <f>D34</f>
        <v>72303</v>
      </c>
      <c r="E19" s="130">
        <f>E34</f>
        <v>71975</v>
      </c>
      <c r="F19" s="131">
        <f aca="true" t="shared" si="9" ref="F19:F34">(E19/C19)^(1/2)-1</f>
        <v>-0.04551513743799063</v>
      </c>
      <c r="G19" s="120"/>
      <c r="H19" s="132">
        <v>0.8</v>
      </c>
      <c r="I19" s="120">
        <f aca="true" t="shared" si="10" ref="I19:N19">I34</f>
        <v>40907</v>
      </c>
      <c r="J19" s="120">
        <f t="shared" si="10"/>
        <v>36943</v>
      </c>
      <c r="K19" s="120">
        <f t="shared" si="10"/>
        <v>33549</v>
      </c>
      <c r="L19" s="120">
        <f t="shared" si="10"/>
        <v>30109</v>
      </c>
      <c r="M19" s="120">
        <f t="shared" si="10"/>
        <v>27393</v>
      </c>
      <c r="N19" s="120">
        <f t="shared" si="10"/>
        <v>25101</v>
      </c>
    </row>
    <row r="20" spans="1:14" s="99" customFormat="1" ht="15" customHeight="1">
      <c r="A20" s="134"/>
      <c r="B20" s="83" t="s">
        <v>50</v>
      </c>
      <c r="C20" s="130">
        <f>C43</f>
        <v>39713</v>
      </c>
      <c r="D20" s="130">
        <f>D43</f>
        <v>33355</v>
      </c>
      <c r="E20" s="130">
        <f>E43</f>
        <v>30721</v>
      </c>
      <c r="F20" s="131">
        <f t="shared" si="9"/>
        <v>-0.12046864551611469</v>
      </c>
      <c r="G20" s="120"/>
      <c r="H20" s="132">
        <v>0.8</v>
      </c>
      <c r="I20" s="120">
        <f aca="true" t="shared" si="11" ref="I20:N20">I43</f>
        <v>24564</v>
      </c>
      <c r="J20" s="120">
        <f t="shared" si="11"/>
        <v>22034</v>
      </c>
      <c r="K20" s="120">
        <f t="shared" si="11"/>
        <v>19892</v>
      </c>
      <c r="L20" s="120">
        <f t="shared" si="11"/>
        <v>19650</v>
      </c>
      <c r="M20" s="120">
        <f t="shared" si="11"/>
        <v>17626</v>
      </c>
      <c r="N20" s="120">
        <f t="shared" si="11"/>
        <v>15914</v>
      </c>
    </row>
    <row r="21" spans="1:14" s="99" customFormat="1" ht="15" customHeight="1">
      <c r="A21" s="134"/>
      <c r="B21" s="83" t="s">
        <v>62</v>
      </c>
      <c r="C21" s="130">
        <f>C55</f>
        <v>48959</v>
      </c>
      <c r="D21" s="130">
        <f>D55</f>
        <v>34583</v>
      </c>
      <c r="E21" s="130">
        <f>E55</f>
        <v>31574</v>
      </c>
      <c r="F21" s="131">
        <f t="shared" si="9"/>
        <v>-0.19693900420390553</v>
      </c>
      <c r="G21" s="120"/>
      <c r="H21" s="132">
        <v>0.8</v>
      </c>
      <c r="I21" s="120">
        <f aca="true" t="shared" si="12" ref="I21:N21">I55</f>
        <v>22481</v>
      </c>
      <c r="J21" s="120">
        <f t="shared" si="12"/>
        <v>19710</v>
      </c>
      <c r="K21" s="120">
        <f t="shared" si="12"/>
        <v>17707</v>
      </c>
      <c r="L21" s="120">
        <f t="shared" si="12"/>
        <v>17984</v>
      </c>
      <c r="M21" s="120">
        <f t="shared" si="12"/>
        <v>15769</v>
      </c>
      <c r="N21" s="120">
        <f t="shared" si="12"/>
        <v>14166</v>
      </c>
    </row>
    <row r="22" spans="1:14" s="99" customFormat="1" ht="15" customHeight="1">
      <c r="A22" s="134"/>
      <c r="B22" s="83" t="s">
        <v>70</v>
      </c>
      <c r="C22" s="130">
        <f>C63</f>
        <v>69168</v>
      </c>
      <c r="D22" s="130">
        <f>D63</f>
        <v>52204</v>
      </c>
      <c r="E22" s="130">
        <f>E63</f>
        <v>50235</v>
      </c>
      <c r="F22" s="131">
        <f t="shared" si="9"/>
        <v>-0.14778221319807672</v>
      </c>
      <c r="G22" s="120"/>
      <c r="H22" s="132">
        <v>0.8</v>
      </c>
      <c r="I22" s="120">
        <f aca="true" t="shared" si="13" ref="I22:N22">I63</f>
        <v>36866</v>
      </c>
      <c r="J22" s="120">
        <f t="shared" si="13"/>
        <v>31711</v>
      </c>
      <c r="K22" s="120">
        <f t="shared" si="13"/>
        <v>27353</v>
      </c>
      <c r="L22" s="120">
        <f t="shared" si="13"/>
        <v>29492</v>
      </c>
      <c r="M22" s="120">
        <f t="shared" si="13"/>
        <v>25367</v>
      </c>
      <c r="N22" s="120">
        <f t="shared" si="13"/>
        <v>21882</v>
      </c>
    </row>
    <row r="23" spans="1:14" s="99" customFormat="1" ht="15" customHeight="1">
      <c r="A23" s="134"/>
      <c r="B23" s="83" t="s">
        <v>80</v>
      </c>
      <c r="C23" s="130">
        <f>C73</f>
        <v>70216</v>
      </c>
      <c r="D23" s="130">
        <f>D73</f>
        <v>56852</v>
      </c>
      <c r="E23" s="130">
        <f>E73</f>
        <v>56832</v>
      </c>
      <c r="F23" s="131">
        <f t="shared" si="9"/>
        <v>-0.10033996774579423</v>
      </c>
      <c r="G23" s="120"/>
      <c r="H23" s="132">
        <v>0.8</v>
      </c>
      <c r="I23" s="120">
        <f aca="true" t="shared" si="14" ref="I23:N23">I73</f>
        <v>49674</v>
      </c>
      <c r="J23" s="120">
        <f t="shared" si="14"/>
        <v>48202</v>
      </c>
      <c r="K23" s="120">
        <f t="shared" si="14"/>
        <v>48162</v>
      </c>
      <c r="L23" s="120">
        <f t="shared" si="14"/>
        <v>39738</v>
      </c>
      <c r="M23" s="120">
        <f t="shared" si="14"/>
        <v>38561</v>
      </c>
      <c r="N23" s="120">
        <f t="shared" si="14"/>
        <v>38530</v>
      </c>
    </row>
    <row r="24" spans="1:14" s="99" customFormat="1" ht="15" customHeight="1">
      <c r="A24" s="134"/>
      <c r="B24" s="83" t="s">
        <v>87</v>
      </c>
      <c r="C24" s="130">
        <f>C80</f>
        <v>45944</v>
      </c>
      <c r="D24" s="130">
        <f>D80</f>
        <v>42702</v>
      </c>
      <c r="E24" s="130">
        <f>E80</f>
        <v>40270</v>
      </c>
      <c r="F24" s="131">
        <f t="shared" si="9"/>
        <v>-0.06378323647099304</v>
      </c>
      <c r="G24" s="120"/>
      <c r="H24" s="132">
        <v>0.8</v>
      </c>
      <c r="I24" s="120">
        <f aca="true" t="shared" si="15" ref="I24:N24">I80</f>
        <v>35905</v>
      </c>
      <c r="J24" s="120">
        <f t="shared" si="15"/>
        <v>34111</v>
      </c>
      <c r="K24" s="120">
        <f t="shared" si="15"/>
        <v>32532</v>
      </c>
      <c r="L24" s="120">
        <f t="shared" si="15"/>
        <v>28724</v>
      </c>
      <c r="M24" s="120">
        <f t="shared" si="15"/>
        <v>27288</v>
      </c>
      <c r="N24" s="120">
        <f t="shared" si="15"/>
        <v>26025</v>
      </c>
    </row>
    <row r="25" spans="1:14" s="99" customFormat="1" ht="15" customHeight="1">
      <c r="A25" s="134"/>
      <c r="B25" s="83" t="s">
        <v>294</v>
      </c>
      <c r="C25" s="130">
        <f>C86</f>
        <v>24020</v>
      </c>
      <c r="D25" s="130">
        <f>D86</f>
        <v>20106</v>
      </c>
      <c r="E25" s="130">
        <f>E86</f>
        <v>17449</v>
      </c>
      <c r="F25" s="131">
        <f t="shared" si="9"/>
        <v>-0.1476876728095703</v>
      </c>
      <c r="G25" s="120"/>
      <c r="H25" s="132">
        <v>0.8</v>
      </c>
      <c r="I25" s="120">
        <f aca="true" t="shared" si="16" ref="I25:N25">I86</f>
        <v>12715</v>
      </c>
      <c r="J25" s="120">
        <f t="shared" si="16"/>
        <v>10867</v>
      </c>
      <c r="K25" s="120">
        <f t="shared" si="16"/>
        <v>9295</v>
      </c>
      <c r="L25" s="120">
        <f t="shared" si="16"/>
        <v>10171</v>
      </c>
      <c r="M25" s="120">
        <f t="shared" si="16"/>
        <v>8693</v>
      </c>
      <c r="N25" s="120">
        <f t="shared" si="16"/>
        <v>7436</v>
      </c>
    </row>
    <row r="26" spans="1:14" s="99" customFormat="1" ht="15" customHeight="1">
      <c r="A26" s="134"/>
      <c r="B26" s="83" t="s">
        <v>98</v>
      </c>
      <c r="C26" s="130">
        <f>C91</f>
        <v>37084</v>
      </c>
      <c r="D26" s="130">
        <f>D91</f>
        <v>32450</v>
      </c>
      <c r="E26" s="130">
        <f>E91</f>
        <v>30451</v>
      </c>
      <c r="F26" s="131">
        <f t="shared" si="9"/>
        <v>-0.0938345626731032</v>
      </c>
      <c r="G26" s="120"/>
      <c r="H26" s="132">
        <v>0.8</v>
      </c>
      <c r="I26" s="120">
        <f aca="true" t="shared" si="17" ref="I26:N26">I91</f>
        <v>25551</v>
      </c>
      <c r="J26" s="120">
        <f t="shared" si="17"/>
        <v>23609</v>
      </c>
      <c r="K26" s="120">
        <f t="shared" si="17"/>
        <v>21947</v>
      </c>
      <c r="L26" s="120">
        <f t="shared" si="17"/>
        <v>20441</v>
      </c>
      <c r="M26" s="120">
        <f t="shared" si="17"/>
        <v>18887</v>
      </c>
      <c r="N26" s="120">
        <f t="shared" si="17"/>
        <v>17557</v>
      </c>
    </row>
    <row r="27" spans="1:14" s="99" customFormat="1" ht="15" customHeight="1">
      <c r="A27" s="134"/>
      <c r="B27" s="83" t="s">
        <v>104</v>
      </c>
      <c r="C27" s="130">
        <f>C97</f>
        <v>136020</v>
      </c>
      <c r="D27" s="130">
        <f>D97</f>
        <v>120548</v>
      </c>
      <c r="E27" s="130">
        <f>E97</f>
        <v>116196</v>
      </c>
      <c r="F27" s="131">
        <f t="shared" si="9"/>
        <v>-0.07573990297540223</v>
      </c>
      <c r="G27" s="120"/>
      <c r="H27" s="132">
        <v>0.8</v>
      </c>
      <c r="I27" s="120">
        <f aca="true" t="shared" si="18" ref="I27:N27">I97</f>
        <v>99701</v>
      </c>
      <c r="J27" s="120">
        <f t="shared" si="18"/>
        <v>92513</v>
      </c>
      <c r="K27" s="120">
        <f t="shared" si="18"/>
        <v>85945</v>
      </c>
      <c r="L27" s="120">
        <f t="shared" si="18"/>
        <v>79761</v>
      </c>
      <c r="M27" s="120">
        <f t="shared" si="18"/>
        <v>74010</v>
      </c>
      <c r="N27" s="120">
        <f t="shared" si="18"/>
        <v>68754</v>
      </c>
    </row>
    <row r="28" spans="1:14" s="99" customFormat="1" ht="15" customHeight="1">
      <c r="A28" s="134"/>
      <c r="B28" s="83" t="s">
        <v>115</v>
      </c>
      <c r="C28" s="130">
        <f>C108</f>
        <v>113085</v>
      </c>
      <c r="D28" s="130">
        <f>D108</f>
        <v>99480</v>
      </c>
      <c r="E28" s="130">
        <f>E108</f>
        <v>91148</v>
      </c>
      <c r="F28" s="131">
        <f t="shared" si="9"/>
        <v>-0.10221763442936216</v>
      </c>
      <c r="G28" s="120"/>
      <c r="H28" s="132">
        <v>0.8</v>
      </c>
      <c r="I28" s="120">
        <f aca="true" t="shared" si="19" ref="I28:N28">I108</f>
        <v>74146</v>
      </c>
      <c r="J28" s="120">
        <f t="shared" si="19"/>
        <v>67104</v>
      </c>
      <c r="K28" s="120">
        <f t="shared" si="19"/>
        <v>60867</v>
      </c>
      <c r="L28" s="120">
        <f t="shared" si="19"/>
        <v>59317</v>
      </c>
      <c r="M28" s="120">
        <f t="shared" si="19"/>
        <v>53684</v>
      </c>
      <c r="N28" s="120">
        <f t="shared" si="19"/>
        <v>48693</v>
      </c>
    </row>
    <row r="29" spans="1:14" s="99" customFormat="1" ht="15" customHeight="1">
      <c r="A29" s="134"/>
      <c r="B29" s="83" t="s">
        <v>122</v>
      </c>
      <c r="C29" s="130">
        <f>C115</f>
        <v>54325</v>
      </c>
      <c r="D29" s="130">
        <f>D115</f>
        <v>56170</v>
      </c>
      <c r="E29" s="130">
        <f>E115</f>
        <v>47311</v>
      </c>
      <c r="F29" s="131">
        <f t="shared" si="9"/>
        <v>-0.0667861054224097</v>
      </c>
      <c r="G29" s="120"/>
      <c r="H29" s="132">
        <v>0.8</v>
      </c>
      <c r="I29" s="120">
        <f aca="true" t="shared" si="20" ref="I29:N29">I115</f>
        <v>37264</v>
      </c>
      <c r="J29" s="120">
        <f t="shared" si="20"/>
        <v>34939</v>
      </c>
      <c r="K29" s="120">
        <f t="shared" si="20"/>
        <v>33272</v>
      </c>
      <c r="L29" s="120">
        <f t="shared" si="20"/>
        <v>31262</v>
      </c>
      <c r="M29" s="120">
        <f t="shared" si="20"/>
        <v>29618</v>
      </c>
      <c r="N29" s="120">
        <f t="shared" si="20"/>
        <v>28206</v>
      </c>
    </row>
    <row r="30" spans="1:14" s="99" customFormat="1" ht="15" customHeight="1">
      <c r="A30" s="134"/>
      <c r="B30" s="83" t="s">
        <v>132</v>
      </c>
      <c r="C30" s="130">
        <f>C125</f>
        <v>61144</v>
      </c>
      <c r="D30" s="130">
        <f>D125</f>
        <v>46910</v>
      </c>
      <c r="E30" s="130">
        <f>E125</f>
        <v>43567</v>
      </c>
      <c r="F30" s="131">
        <f t="shared" si="9"/>
        <v>-0.15588444263505652</v>
      </c>
      <c r="G30" s="120"/>
      <c r="H30" s="132">
        <v>0.8</v>
      </c>
      <c r="I30" s="120">
        <f aca="true" t="shared" si="21" ref="I30:N30">I125</f>
        <v>33628</v>
      </c>
      <c r="J30" s="120">
        <f t="shared" si="21"/>
        <v>30219</v>
      </c>
      <c r="K30" s="120">
        <f t="shared" si="21"/>
        <v>27483</v>
      </c>
      <c r="L30" s="120">
        <f t="shared" si="21"/>
        <v>26901</v>
      </c>
      <c r="M30" s="120">
        <f t="shared" si="21"/>
        <v>24176</v>
      </c>
      <c r="N30" s="120">
        <f t="shared" si="21"/>
        <v>21986</v>
      </c>
    </row>
    <row r="31" spans="1:14" s="99" customFormat="1" ht="15" customHeight="1">
      <c r="A31" s="134"/>
      <c r="B31" s="83" t="s">
        <v>142</v>
      </c>
      <c r="C31" s="130">
        <f>C135</f>
        <v>35204</v>
      </c>
      <c r="D31" s="130">
        <f>D135</f>
        <v>28616</v>
      </c>
      <c r="E31" s="130">
        <f>E135</f>
        <v>27310</v>
      </c>
      <c r="F31" s="131">
        <f t="shared" si="9"/>
        <v>-0.11922527413992168</v>
      </c>
      <c r="G31" s="120"/>
      <c r="H31" s="132">
        <v>0.8</v>
      </c>
      <c r="I31" s="120">
        <f aca="true" t="shared" si="22" ref="I31:N31">I135</f>
        <v>21404</v>
      </c>
      <c r="J31" s="120">
        <f t="shared" si="22"/>
        <v>19015</v>
      </c>
      <c r="K31" s="120">
        <f t="shared" si="22"/>
        <v>16929</v>
      </c>
      <c r="L31" s="120">
        <f t="shared" si="22"/>
        <v>17123</v>
      </c>
      <c r="M31" s="120">
        <f t="shared" si="22"/>
        <v>15212</v>
      </c>
      <c r="N31" s="120">
        <f t="shared" si="22"/>
        <v>13542</v>
      </c>
    </row>
    <row r="32" spans="1:14" s="99" customFormat="1" ht="15" customHeight="1">
      <c r="A32" s="134"/>
      <c r="B32" s="83" t="s">
        <v>147</v>
      </c>
      <c r="C32" s="130">
        <f>C140</f>
        <v>109472</v>
      </c>
      <c r="D32" s="130">
        <f>D140</f>
        <v>96222</v>
      </c>
      <c r="E32" s="130">
        <f>E140</f>
        <v>99551</v>
      </c>
      <c r="F32" s="131">
        <f t="shared" si="9"/>
        <v>-0.046388922817898415</v>
      </c>
      <c r="G32" s="120"/>
      <c r="H32" s="132">
        <v>0.8</v>
      </c>
      <c r="I32" s="120">
        <f aca="true" t="shared" si="23" ref="I32:N32">I140</f>
        <v>90737</v>
      </c>
      <c r="J32" s="120">
        <f t="shared" si="23"/>
        <v>86702</v>
      </c>
      <c r="K32" s="120">
        <f t="shared" si="23"/>
        <v>82896</v>
      </c>
      <c r="L32" s="120">
        <f t="shared" si="23"/>
        <v>72590</v>
      </c>
      <c r="M32" s="120">
        <f t="shared" si="23"/>
        <v>69362</v>
      </c>
      <c r="N32" s="120">
        <f t="shared" si="23"/>
        <v>66316</v>
      </c>
    </row>
    <row r="33" spans="1:14" s="99" customFormat="1" ht="15" customHeight="1">
      <c r="A33" s="134"/>
      <c r="B33" s="96" t="s">
        <v>154</v>
      </c>
      <c r="C33" s="130">
        <f>C147</f>
        <v>49019</v>
      </c>
      <c r="D33" s="130">
        <f>D147</f>
        <v>34789</v>
      </c>
      <c r="E33" s="130">
        <f>E147</f>
        <v>32108</v>
      </c>
      <c r="F33" s="131">
        <f t="shared" si="9"/>
        <v>-0.19067230237659938</v>
      </c>
      <c r="G33" s="120"/>
      <c r="H33" s="132">
        <v>0.8</v>
      </c>
      <c r="I33" s="120">
        <f aca="true" t="shared" si="24" ref="I33:N33">I147</f>
        <v>32108</v>
      </c>
      <c r="J33" s="120">
        <f t="shared" si="24"/>
        <v>32108</v>
      </c>
      <c r="K33" s="120">
        <f t="shared" si="24"/>
        <v>32108</v>
      </c>
      <c r="L33" s="120">
        <f t="shared" si="24"/>
        <v>25687</v>
      </c>
      <c r="M33" s="120">
        <f t="shared" si="24"/>
        <v>25687</v>
      </c>
      <c r="N33" s="120">
        <f t="shared" si="24"/>
        <v>25687</v>
      </c>
    </row>
    <row r="34" spans="1:14" s="106" customFormat="1" ht="16.5" customHeight="1">
      <c r="A34" s="115">
        <v>604</v>
      </c>
      <c r="B34" s="116" t="s">
        <v>41</v>
      </c>
      <c r="C34" s="116">
        <f aca="true" t="shared" si="25" ref="C34:G34">SUM(C35:C42)</f>
        <v>79003</v>
      </c>
      <c r="D34" s="116">
        <f t="shared" si="25"/>
        <v>72303</v>
      </c>
      <c r="E34" s="116">
        <f t="shared" si="25"/>
        <v>71975</v>
      </c>
      <c r="F34" s="131">
        <f t="shared" si="9"/>
        <v>-0.04551513743799063</v>
      </c>
      <c r="G34" s="116">
        <f t="shared" si="25"/>
        <v>16752</v>
      </c>
      <c r="H34" s="132">
        <v>0.8</v>
      </c>
      <c r="I34" s="120">
        <f aca="true" t="shared" si="26" ref="I34:N34">SUM(I36:I42)</f>
        <v>40907</v>
      </c>
      <c r="J34" s="120">
        <f t="shared" si="26"/>
        <v>36943</v>
      </c>
      <c r="K34" s="120">
        <f t="shared" si="26"/>
        <v>33549</v>
      </c>
      <c r="L34" s="120">
        <f t="shared" si="26"/>
        <v>30109</v>
      </c>
      <c r="M34" s="120">
        <f t="shared" si="26"/>
        <v>27393</v>
      </c>
      <c r="N34" s="120">
        <f t="shared" si="26"/>
        <v>25101</v>
      </c>
    </row>
    <row r="35" spans="1:14" s="99" customFormat="1" ht="16.5" customHeight="1">
      <c r="A35" s="130">
        <v>604001</v>
      </c>
      <c r="B35" s="120" t="s">
        <v>42</v>
      </c>
      <c r="C35" s="120"/>
      <c r="D35" s="120"/>
      <c r="E35" s="120"/>
      <c r="F35" s="131"/>
      <c r="G35" s="120"/>
      <c r="H35" s="122"/>
      <c r="I35" s="120"/>
      <c r="J35" s="120"/>
      <c r="K35" s="120"/>
      <c r="L35" s="120"/>
      <c r="M35" s="120"/>
      <c r="N35" s="120"/>
    </row>
    <row r="36" spans="1:231" s="99" customFormat="1" ht="16.5" customHeight="1">
      <c r="A36" s="130">
        <v>604002</v>
      </c>
      <c r="B36" s="120" t="s">
        <v>43</v>
      </c>
      <c r="C36" s="120">
        <v>10508</v>
      </c>
      <c r="D36" s="120">
        <v>11429</v>
      </c>
      <c r="E36" s="120">
        <v>10787</v>
      </c>
      <c r="F36" s="131">
        <f>(E36/C36)^(1/2)-1</f>
        <v>0.013188629568260835</v>
      </c>
      <c r="G36" s="120">
        <v>2772</v>
      </c>
      <c r="H36" s="132">
        <v>0.8</v>
      </c>
      <c r="I36" s="136">
        <v>3500</v>
      </c>
      <c r="J36" s="136">
        <v>3546</v>
      </c>
      <c r="K36" s="136">
        <v>3593</v>
      </c>
      <c r="L36" s="144">
        <v>2800</v>
      </c>
      <c r="M36" s="144">
        <v>2837</v>
      </c>
      <c r="N36" s="144">
        <v>2874</v>
      </c>
      <c r="HL36" s="109"/>
      <c r="HM36" s="109"/>
      <c r="HN36" s="109"/>
      <c r="HO36" s="109"/>
      <c r="HP36" s="109"/>
      <c r="HQ36" s="109"/>
      <c r="HR36" s="109"/>
      <c r="HS36" s="109"/>
      <c r="HT36" s="109"/>
      <c r="HU36" s="109"/>
      <c r="HV36" s="109"/>
      <c r="HW36" s="109"/>
    </row>
    <row r="37" spans="1:231" s="99" customFormat="1" ht="16.5" customHeight="1">
      <c r="A37" s="130">
        <v>604003</v>
      </c>
      <c r="B37" s="120" t="s">
        <v>44</v>
      </c>
      <c r="C37" s="120">
        <v>9258</v>
      </c>
      <c r="D37" s="120">
        <v>8792</v>
      </c>
      <c r="E37" s="120">
        <v>8672</v>
      </c>
      <c r="F37" s="131">
        <f aca="true" t="shared" si="27" ref="F37:F42">(E37/C37)^(1/2)-1</f>
        <v>-0.03216561764872916</v>
      </c>
      <c r="G37" s="120">
        <v>4360</v>
      </c>
      <c r="H37" s="132">
        <v>0.8</v>
      </c>
      <c r="I37" s="136">
        <v>6100</v>
      </c>
      <c r="J37" s="136">
        <v>5900</v>
      </c>
      <c r="K37" s="136">
        <v>5700</v>
      </c>
      <c r="L37" s="144">
        <v>4880</v>
      </c>
      <c r="M37" s="144">
        <v>4720</v>
      </c>
      <c r="N37" s="144">
        <v>4560</v>
      </c>
      <c r="HL37" s="109"/>
      <c r="HM37" s="109"/>
      <c r="HN37" s="109"/>
      <c r="HO37" s="109"/>
      <c r="HP37" s="109"/>
      <c r="HQ37" s="109"/>
      <c r="HR37" s="109"/>
      <c r="HS37" s="109"/>
      <c r="HT37" s="109"/>
      <c r="HU37" s="109"/>
      <c r="HV37" s="109"/>
      <c r="HW37" s="109"/>
    </row>
    <row r="38" spans="1:231" s="99" customFormat="1" ht="16.5" customHeight="1">
      <c r="A38" s="130">
        <v>604004</v>
      </c>
      <c r="B38" s="120" t="s">
        <v>45</v>
      </c>
      <c r="C38" s="120">
        <v>10040</v>
      </c>
      <c r="D38" s="120">
        <v>8206</v>
      </c>
      <c r="E38" s="120">
        <v>8617</v>
      </c>
      <c r="F38" s="131">
        <f t="shared" si="27"/>
        <v>-0.07357302917557695</v>
      </c>
      <c r="G38" s="120">
        <v>2737</v>
      </c>
      <c r="H38" s="132">
        <v>0.8</v>
      </c>
      <c r="I38" s="136">
        <v>7396</v>
      </c>
      <c r="J38" s="136">
        <v>6852</v>
      </c>
      <c r="K38" s="136">
        <v>6348</v>
      </c>
      <c r="L38" s="144">
        <v>3000</v>
      </c>
      <c r="M38" s="144">
        <v>3000</v>
      </c>
      <c r="N38" s="144">
        <v>3000</v>
      </c>
      <c r="HL38" s="109"/>
      <c r="HM38" s="109"/>
      <c r="HN38" s="109"/>
      <c r="HO38" s="109"/>
      <c r="HP38" s="109"/>
      <c r="HQ38" s="109"/>
      <c r="HR38" s="109"/>
      <c r="HS38" s="109"/>
      <c r="HT38" s="109"/>
      <c r="HU38" s="109"/>
      <c r="HV38" s="109"/>
      <c r="HW38" s="109"/>
    </row>
    <row r="39" spans="1:14" s="99" customFormat="1" ht="16.5" customHeight="1">
      <c r="A39" s="130">
        <v>604005</v>
      </c>
      <c r="B39" s="120" t="s">
        <v>46</v>
      </c>
      <c r="C39" s="120">
        <v>3839</v>
      </c>
      <c r="D39" s="120">
        <v>3676</v>
      </c>
      <c r="E39" s="120">
        <v>4124</v>
      </c>
      <c r="F39" s="131">
        <f t="shared" si="27"/>
        <v>0.0364545734541728</v>
      </c>
      <c r="G39" s="120">
        <v>1721</v>
      </c>
      <c r="H39" s="132">
        <v>0.8</v>
      </c>
      <c r="I39" s="136">
        <v>1500</v>
      </c>
      <c r="J39" s="136">
        <v>1600</v>
      </c>
      <c r="K39" s="136">
        <v>1700</v>
      </c>
      <c r="L39" s="144">
        <v>1500</v>
      </c>
      <c r="M39" s="144">
        <v>1600</v>
      </c>
      <c r="N39" s="144">
        <v>1700</v>
      </c>
    </row>
    <row r="40" spans="1:231" s="99" customFormat="1" ht="16.5" customHeight="1">
      <c r="A40" s="130">
        <v>604006</v>
      </c>
      <c r="B40" s="120" t="s">
        <v>47</v>
      </c>
      <c r="C40" s="120">
        <v>21687</v>
      </c>
      <c r="D40" s="120">
        <v>22273</v>
      </c>
      <c r="E40" s="120">
        <v>23731</v>
      </c>
      <c r="F40" s="131">
        <f t="shared" si="27"/>
        <v>0.046064057086201204</v>
      </c>
      <c r="G40" s="120">
        <v>4162</v>
      </c>
      <c r="H40" s="132">
        <v>0.8</v>
      </c>
      <c r="I40" s="136">
        <v>11492</v>
      </c>
      <c r="J40" s="136">
        <v>10020</v>
      </c>
      <c r="K40" s="136">
        <v>8737</v>
      </c>
      <c r="L40" s="144">
        <v>9194</v>
      </c>
      <c r="M40" s="144">
        <v>8016</v>
      </c>
      <c r="N40" s="144">
        <v>6990</v>
      </c>
      <c r="HL40" s="109"/>
      <c r="HM40" s="109"/>
      <c r="HN40" s="109"/>
      <c r="HO40" s="109"/>
      <c r="HP40" s="109"/>
      <c r="HQ40" s="109"/>
      <c r="HR40" s="109"/>
      <c r="HS40" s="109"/>
      <c r="HT40" s="109"/>
      <c r="HU40" s="109"/>
      <c r="HV40" s="109"/>
      <c r="HW40" s="109"/>
    </row>
    <row r="41" spans="1:231" s="99" customFormat="1" ht="16.5" customHeight="1">
      <c r="A41" s="130">
        <v>604007</v>
      </c>
      <c r="B41" s="120" t="s">
        <v>48</v>
      </c>
      <c r="C41" s="120">
        <v>22940</v>
      </c>
      <c r="D41" s="120">
        <v>17253</v>
      </c>
      <c r="E41" s="120">
        <v>15372</v>
      </c>
      <c r="F41" s="131">
        <f t="shared" si="27"/>
        <v>-0.1814061432224361</v>
      </c>
      <c r="G41" s="120">
        <v>903</v>
      </c>
      <c r="H41" s="132">
        <v>0.8</v>
      </c>
      <c r="I41" s="120">
        <f>ROUND(E41*(1+$F41)^2,0)</f>
        <v>10301</v>
      </c>
      <c r="J41" s="120">
        <f aca="true" t="shared" si="28" ref="J41:J45">ROUND(I41*(1+$F41),0)</f>
        <v>8432</v>
      </c>
      <c r="K41" s="120">
        <f aca="true" t="shared" si="29" ref="K41:K45">ROUND(J41*(1+$F41),0)</f>
        <v>6902</v>
      </c>
      <c r="L41" s="143">
        <f aca="true" t="shared" si="30" ref="L41:N41">ROUND(I41*$H41,0)</f>
        <v>8241</v>
      </c>
      <c r="M41" s="143">
        <f t="shared" si="30"/>
        <v>6746</v>
      </c>
      <c r="N41" s="143">
        <f t="shared" si="30"/>
        <v>5522</v>
      </c>
      <c r="HL41" s="109"/>
      <c r="HM41" s="109"/>
      <c r="HN41" s="109"/>
      <c r="HO41" s="109"/>
      <c r="HP41" s="109"/>
      <c r="HQ41" s="109"/>
      <c r="HR41" s="109"/>
      <c r="HS41" s="109"/>
      <c r="HT41" s="109"/>
      <c r="HU41" s="109"/>
      <c r="HV41" s="109"/>
      <c r="HW41" s="109"/>
    </row>
    <row r="42" spans="1:231" s="99" customFormat="1" ht="16.5" customHeight="1">
      <c r="A42" s="130">
        <v>604008</v>
      </c>
      <c r="B42" s="120" t="s">
        <v>49</v>
      </c>
      <c r="C42" s="120">
        <v>731</v>
      </c>
      <c r="D42" s="120">
        <v>674</v>
      </c>
      <c r="E42" s="120">
        <v>672</v>
      </c>
      <c r="F42" s="131">
        <f t="shared" si="27"/>
        <v>-0.041204586112952635</v>
      </c>
      <c r="G42" s="120">
        <v>97</v>
      </c>
      <c r="H42" s="132">
        <v>0.8</v>
      </c>
      <c r="I42" s="120">
        <f>ROUND(E42*(1+$F42)^2,0)</f>
        <v>618</v>
      </c>
      <c r="J42" s="120">
        <f t="shared" si="28"/>
        <v>593</v>
      </c>
      <c r="K42" s="120">
        <f t="shared" si="29"/>
        <v>569</v>
      </c>
      <c r="L42" s="143">
        <f aca="true" t="shared" si="31" ref="L42:N42">ROUND(I42*$H42,0)</f>
        <v>494</v>
      </c>
      <c r="M42" s="143">
        <f t="shared" si="31"/>
        <v>474</v>
      </c>
      <c r="N42" s="143">
        <f t="shared" si="31"/>
        <v>455</v>
      </c>
      <c r="HL42" s="109"/>
      <c r="HM42" s="109"/>
      <c r="HN42" s="109"/>
      <c r="HO42" s="109"/>
      <c r="HP42" s="109"/>
      <c r="HQ42" s="109"/>
      <c r="HR42" s="109"/>
      <c r="HS42" s="109"/>
      <c r="HT42" s="109"/>
      <c r="HU42" s="109"/>
      <c r="HV42" s="109"/>
      <c r="HW42" s="109"/>
    </row>
    <row r="43" spans="1:14" s="106" customFormat="1" ht="16.5" customHeight="1">
      <c r="A43" s="115">
        <v>606</v>
      </c>
      <c r="B43" s="116" t="s">
        <v>50</v>
      </c>
      <c r="C43" s="116">
        <f>SUM(C44:C54)</f>
        <v>39713</v>
      </c>
      <c r="D43" s="116">
        <f aca="true" t="shared" si="32" ref="D43:N43">SUM(D44:D54)</f>
        <v>33355</v>
      </c>
      <c r="E43" s="116">
        <f t="shared" si="32"/>
        <v>30721</v>
      </c>
      <c r="F43" s="116"/>
      <c r="G43" s="116"/>
      <c r="H43" s="116"/>
      <c r="I43" s="116">
        <f t="shared" si="32"/>
        <v>24564</v>
      </c>
      <c r="J43" s="116">
        <f t="shared" si="32"/>
        <v>22034</v>
      </c>
      <c r="K43" s="116">
        <f t="shared" si="32"/>
        <v>19892</v>
      </c>
      <c r="L43" s="116">
        <f t="shared" si="32"/>
        <v>19650</v>
      </c>
      <c r="M43" s="116">
        <f t="shared" si="32"/>
        <v>17626</v>
      </c>
      <c r="N43" s="116">
        <f t="shared" si="32"/>
        <v>15914</v>
      </c>
    </row>
    <row r="44" spans="1:14" s="99" customFormat="1" ht="16.5" customHeight="1">
      <c r="A44" s="130">
        <v>606001</v>
      </c>
      <c r="B44" s="120" t="s">
        <v>51</v>
      </c>
      <c r="C44" s="120"/>
      <c r="D44" s="120"/>
      <c r="E44" s="120"/>
      <c r="F44" s="131"/>
      <c r="G44" s="120"/>
      <c r="H44" s="122"/>
      <c r="I44" s="120">
        <f>ROUND(C44*(1+$F44),0)</f>
        <v>0</v>
      </c>
      <c r="J44" s="120">
        <f>ROUND(D44*(1+$F44),0)</f>
        <v>0</v>
      </c>
      <c r="K44" s="120">
        <f>ROUND(E44*(1+$F44),0)</f>
        <v>0</v>
      </c>
      <c r="L44" s="143"/>
      <c r="M44" s="143"/>
      <c r="N44" s="143"/>
    </row>
    <row r="45" spans="1:231" s="99" customFormat="1" ht="16.5" customHeight="1">
      <c r="A45" s="130">
        <v>606002</v>
      </c>
      <c r="B45" s="120" t="s">
        <v>52</v>
      </c>
      <c r="C45" s="120">
        <v>5325</v>
      </c>
      <c r="D45" s="120">
        <v>4026</v>
      </c>
      <c r="E45" s="120">
        <v>3738</v>
      </c>
      <c r="F45" s="131">
        <f aca="true" t="shared" si="33" ref="F45:F54">(E45/C45)^(1/2)-1</f>
        <v>-0.1621624077508126</v>
      </c>
      <c r="G45" s="120">
        <v>2568</v>
      </c>
      <c r="H45" s="132">
        <v>0.8</v>
      </c>
      <c r="I45" s="120">
        <f>ROUND(E45*(1+$F45)^2,0)</f>
        <v>2624</v>
      </c>
      <c r="J45" s="120">
        <f t="shared" si="28"/>
        <v>2198</v>
      </c>
      <c r="K45" s="120">
        <f t="shared" si="29"/>
        <v>1842</v>
      </c>
      <c r="L45" s="143">
        <f aca="true" t="shared" si="34" ref="L45:N45">ROUND(I45*$H45,0)</f>
        <v>2099</v>
      </c>
      <c r="M45" s="143">
        <f t="shared" si="34"/>
        <v>1758</v>
      </c>
      <c r="N45" s="143">
        <f t="shared" si="34"/>
        <v>1474</v>
      </c>
      <c r="HL45" s="109"/>
      <c r="HM45" s="109"/>
      <c r="HN45" s="109"/>
      <c r="HO45" s="109"/>
      <c r="HP45" s="109"/>
      <c r="HQ45" s="109"/>
      <c r="HR45" s="109"/>
      <c r="HS45" s="109"/>
      <c r="HT45" s="109"/>
      <c r="HU45" s="109"/>
      <c r="HV45" s="109"/>
      <c r="HW45" s="109"/>
    </row>
    <row r="46" spans="1:231" s="99" customFormat="1" ht="16.5" customHeight="1">
      <c r="A46" s="130">
        <v>606003</v>
      </c>
      <c r="B46" s="120" t="s">
        <v>53</v>
      </c>
      <c r="C46" s="120">
        <v>5069</v>
      </c>
      <c r="D46" s="120">
        <v>3834</v>
      </c>
      <c r="E46" s="120">
        <v>3556</v>
      </c>
      <c r="F46" s="131">
        <f t="shared" si="33"/>
        <v>-0.1624326670138928</v>
      </c>
      <c r="G46" s="120">
        <v>4052</v>
      </c>
      <c r="H46" s="132">
        <v>0.8</v>
      </c>
      <c r="I46" s="120">
        <f>ROUND(E46*(1+$F46)^2,0)</f>
        <v>2495</v>
      </c>
      <c r="J46" s="120">
        <f aca="true" t="shared" si="35" ref="J46:K48">ROUND(I46*(1+$F46),0)</f>
        <v>2090</v>
      </c>
      <c r="K46" s="120">
        <f t="shared" si="35"/>
        <v>1751</v>
      </c>
      <c r="L46" s="143">
        <f aca="true" t="shared" si="36" ref="L46:N48">ROUND(I46*$H46,0)</f>
        <v>1996</v>
      </c>
      <c r="M46" s="143">
        <f t="shared" si="36"/>
        <v>1672</v>
      </c>
      <c r="N46" s="143">
        <f t="shared" si="36"/>
        <v>1401</v>
      </c>
      <c r="HL46" s="109"/>
      <c r="HM46" s="109"/>
      <c r="HN46" s="109"/>
      <c r="HO46" s="109"/>
      <c r="HP46" s="109"/>
      <c r="HQ46" s="109"/>
      <c r="HR46" s="109"/>
      <c r="HS46" s="109"/>
      <c r="HT46" s="109"/>
      <c r="HU46" s="109"/>
      <c r="HV46" s="109"/>
      <c r="HW46" s="109"/>
    </row>
    <row r="47" spans="1:231" s="99" customFormat="1" ht="16.5" customHeight="1">
      <c r="A47" s="130">
        <v>606004</v>
      </c>
      <c r="B47" s="120" t="s">
        <v>54</v>
      </c>
      <c r="C47" s="120">
        <v>2933</v>
      </c>
      <c r="D47" s="120">
        <v>2358</v>
      </c>
      <c r="E47" s="120">
        <v>2748</v>
      </c>
      <c r="F47" s="131">
        <f t="shared" si="33"/>
        <v>-0.0320513182361013</v>
      </c>
      <c r="G47" s="120">
        <v>1819</v>
      </c>
      <c r="H47" s="132">
        <v>0.8</v>
      </c>
      <c r="I47" s="120">
        <f>ROUND(E47*(1+$F47)^2,0)</f>
        <v>2575</v>
      </c>
      <c r="J47" s="120">
        <f t="shared" si="35"/>
        <v>2492</v>
      </c>
      <c r="K47" s="120">
        <f t="shared" si="35"/>
        <v>2412</v>
      </c>
      <c r="L47" s="143">
        <f t="shared" si="36"/>
        <v>2060</v>
      </c>
      <c r="M47" s="143">
        <f t="shared" si="36"/>
        <v>1994</v>
      </c>
      <c r="N47" s="143">
        <f t="shared" si="36"/>
        <v>1930</v>
      </c>
      <c r="HL47" s="109"/>
      <c r="HM47" s="109"/>
      <c r="HN47" s="109"/>
      <c r="HO47" s="109"/>
      <c r="HP47" s="109"/>
      <c r="HQ47" s="109"/>
      <c r="HR47" s="109"/>
      <c r="HS47" s="109"/>
      <c r="HT47" s="109"/>
      <c r="HU47" s="109"/>
      <c r="HV47" s="109"/>
      <c r="HW47" s="109"/>
    </row>
    <row r="48" spans="1:256" s="107" customFormat="1" ht="16.5" customHeight="1">
      <c r="A48" s="135">
        <v>606005</v>
      </c>
      <c r="B48" s="136" t="s">
        <v>55</v>
      </c>
      <c r="C48" s="136">
        <v>5748</v>
      </c>
      <c r="D48" s="136">
        <v>4986</v>
      </c>
      <c r="E48" s="136">
        <v>4169</v>
      </c>
      <c r="F48" s="126">
        <f t="shared" si="33"/>
        <v>-0.14835702606947254</v>
      </c>
      <c r="G48" s="136">
        <v>2333</v>
      </c>
      <c r="H48" s="137">
        <v>0.8</v>
      </c>
      <c r="I48" s="136">
        <v>3255</v>
      </c>
      <c r="J48" s="136">
        <v>2928</v>
      </c>
      <c r="K48" s="136">
        <v>2679</v>
      </c>
      <c r="L48" s="144">
        <f t="shared" si="36"/>
        <v>2604</v>
      </c>
      <c r="M48" s="144">
        <f t="shared" si="36"/>
        <v>2342</v>
      </c>
      <c r="N48" s="144">
        <f t="shared" si="36"/>
        <v>2143</v>
      </c>
      <c r="HL48" s="157"/>
      <c r="HM48" s="157"/>
      <c r="HN48" s="157"/>
      <c r="HO48" s="157"/>
      <c r="HP48" s="157"/>
      <c r="HQ48" s="157"/>
      <c r="HR48" s="157"/>
      <c r="HS48" s="157"/>
      <c r="HT48" s="157"/>
      <c r="HU48" s="157"/>
      <c r="HV48" s="157"/>
      <c r="HW48" s="157"/>
      <c r="HX48" s="157"/>
      <c r="HY48" s="157"/>
      <c r="HZ48" s="157"/>
      <c r="IA48" s="157"/>
      <c r="IB48" s="157"/>
      <c r="IC48" s="157"/>
      <c r="ID48" s="157"/>
      <c r="IE48" s="157"/>
      <c r="IF48" s="157"/>
      <c r="IG48" s="157"/>
      <c r="IH48" s="157"/>
      <c r="II48" s="157"/>
      <c r="IJ48" s="157"/>
      <c r="IK48" s="157"/>
      <c r="IL48" s="157"/>
      <c r="IM48" s="157"/>
      <c r="IN48" s="157"/>
      <c r="IO48" s="157"/>
      <c r="IP48" s="157"/>
      <c r="IQ48" s="157"/>
      <c r="IR48" s="157"/>
      <c r="IS48" s="157"/>
      <c r="IT48" s="157"/>
      <c r="IU48" s="157"/>
      <c r="IV48" s="157"/>
    </row>
    <row r="49" spans="1:231" s="99" customFormat="1" ht="16.5" customHeight="1">
      <c r="A49" s="130">
        <v>606006</v>
      </c>
      <c r="B49" s="120" t="s">
        <v>56</v>
      </c>
      <c r="C49" s="120">
        <v>4464</v>
      </c>
      <c r="D49" s="120">
        <v>4217</v>
      </c>
      <c r="E49" s="120">
        <v>3834</v>
      </c>
      <c r="F49" s="131">
        <f t="shared" si="33"/>
        <v>-0.07324708376939248</v>
      </c>
      <c r="G49" s="120">
        <v>1949</v>
      </c>
      <c r="H49" s="132">
        <v>0.8</v>
      </c>
      <c r="I49" s="120">
        <f>ROUND(E49*(1+$F49)^2,0)</f>
        <v>3293</v>
      </c>
      <c r="J49" s="120">
        <f>ROUND(I49*(1+$F49),0)</f>
        <v>3052</v>
      </c>
      <c r="K49" s="120">
        <f>ROUND(J49*(1+$F49),0)</f>
        <v>2828</v>
      </c>
      <c r="L49" s="143">
        <f>ROUND(I49*$H49,0)</f>
        <v>2634</v>
      </c>
      <c r="M49" s="143">
        <f>ROUND(J49*$H49,0)</f>
        <v>2442</v>
      </c>
      <c r="N49" s="143">
        <f>ROUND(K49*$H49,0)</f>
        <v>2262</v>
      </c>
      <c r="HL49" s="109"/>
      <c r="HM49" s="109"/>
      <c r="HN49" s="109"/>
      <c r="HO49" s="109"/>
      <c r="HP49" s="109"/>
      <c r="HQ49" s="109"/>
      <c r="HR49" s="109"/>
      <c r="HS49" s="109"/>
      <c r="HT49" s="109"/>
      <c r="HU49" s="109"/>
      <c r="HV49" s="109"/>
      <c r="HW49" s="109"/>
    </row>
    <row r="50" spans="1:231" s="99" customFormat="1" ht="16.5" customHeight="1">
      <c r="A50" s="130">
        <v>606007</v>
      </c>
      <c r="B50" s="120" t="s">
        <v>57</v>
      </c>
      <c r="C50" s="120">
        <v>2278</v>
      </c>
      <c r="D50" s="120">
        <v>1898</v>
      </c>
      <c r="E50" s="120">
        <v>1676</v>
      </c>
      <c r="F50" s="131">
        <f t="shared" si="33"/>
        <v>-0.14225114444271436</v>
      </c>
      <c r="G50" s="120">
        <v>1521</v>
      </c>
      <c r="H50" s="132">
        <v>0.8</v>
      </c>
      <c r="I50" s="120">
        <f>ROUND(E50*(1+$F50)^2,0)</f>
        <v>1233</v>
      </c>
      <c r="J50" s="120">
        <f>ROUND(I50*(1+$F50),0)</f>
        <v>1058</v>
      </c>
      <c r="K50" s="120">
        <f>ROUND(J50*(1+$F50),0)</f>
        <v>907</v>
      </c>
      <c r="L50" s="143">
        <f>ROUND(I50*$H50,0)</f>
        <v>986</v>
      </c>
      <c r="M50" s="143">
        <f>ROUND(J50*$H50,0)</f>
        <v>846</v>
      </c>
      <c r="N50" s="143">
        <f>ROUND(K50*$H50,0)</f>
        <v>726</v>
      </c>
      <c r="HL50" s="109"/>
      <c r="HM50" s="109"/>
      <c r="HN50" s="109"/>
      <c r="HO50" s="109"/>
      <c r="HP50" s="109"/>
      <c r="HQ50" s="109"/>
      <c r="HR50" s="109"/>
      <c r="HS50" s="109"/>
      <c r="HT50" s="109"/>
      <c r="HU50" s="109"/>
      <c r="HV50" s="109"/>
      <c r="HW50" s="109"/>
    </row>
    <row r="51" spans="1:231" s="99" customFormat="1" ht="16.5" customHeight="1">
      <c r="A51" s="130">
        <v>606008</v>
      </c>
      <c r="B51" s="120" t="s">
        <v>58</v>
      </c>
      <c r="C51" s="120">
        <v>3230</v>
      </c>
      <c r="D51" s="120">
        <v>2486</v>
      </c>
      <c r="E51" s="120">
        <v>2322</v>
      </c>
      <c r="F51" s="131">
        <f t="shared" si="33"/>
        <v>-0.15212887245973006</v>
      </c>
      <c r="G51" s="120">
        <v>1644</v>
      </c>
      <c r="H51" s="132">
        <v>0.8</v>
      </c>
      <c r="I51" s="120">
        <f>ROUND(E51*(1+$F51)^2,0)</f>
        <v>1669</v>
      </c>
      <c r="J51" s="120">
        <f>ROUND(I51*(1+$F51),0)</f>
        <v>1415</v>
      </c>
      <c r="K51" s="120">
        <f>ROUND(J51*(1+$F51),0)</f>
        <v>1200</v>
      </c>
      <c r="L51" s="143">
        <f>ROUND(I51*$H51,0)</f>
        <v>1335</v>
      </c>
      <c r="M51" s="143">
        <f>ROUND(J51*$H51,0)</f>
        <v>1132</v>
      </c>
      <c r="N51" s="143">
        <f>ROUND(K51*$H51,0)</f>
        <v>960</v>
      </c>
      <c r="HL51" s="109"/>
      <c r="HM51" s="109"/>
      <c r="HN51" s="109"/>
      <c r="HO51" s="109"/>
      <c r="HP51" s="109"/>
      <c r="HQ51" s="109"/>
      <c r="HR51" s="109"/>
      <c r="HS51" s="109"/>
      <c r="HT51" s="109"/>
      <c r="HU51" s="109"/>
      <c r="HV51" s="109"/>
      <c r="HW51" s="109"/>
    </row>
    <row r="52" spans="1:231" s="99" customFormat="1" ht="16.5" customHeight="1">
      <c r="A52" s="130">
        <v>606009</v>
      </c>
      <c r="B52" s="120" t="s">
        <v>59</v>
      </c>
      <c r="C52" s="120">
        <v>5450</v>
      </c>
      <c r="D52" s="120">
        <v>5094</v>
      </c>
      <c r="E52" s="120">
        <v>4525</v>
      </c>
      <c r="F52" s="131">
        <f t="shared" si="33"/>
        <v>-0.08880560287181405</v>
      </c>
      <c r="G52" s="120">
        <v>1565</v>
      </c>
      <c r="H52" s="132">
        <v>0.8</v>
      </c>
      <c r="I52" s="120">
        <f>ROUND(E52*(1+$F52)^2,0)</f>
        <v>3757</v>
      </c>
      <c r="J52" s="120">
        <f>ROUND(I52*(1+$F52),0)</f>
        <v>3423</v>
      </c>
      <c r="K52" s="120">
        <f>ROUND(J52*(1+$F52),0)</f>
        <v>3119</v>
      </c>
      <c r="L52" s="143">
        <f>ROUND(I52*$H52,0)</f>
        <v>3006</v>
      </c>
      <c r="M52" s="143">
        <f>ROUND(J52*$H52,0)</f>
        <v>2738</v>
      </c>
      <c r="N52" s="143">
        <f>ROUND(K52*$H52,0)</f>
        <v>2495</v>
      </c>
      <c r="HL52" s="109"/>
      <c r="HM52" s="109"/>
      <c r="HN52" s="109"/>
      <c r="HO52" s="109"/>
      <c r="HP52" s="109"/>
      <c r="HQ52" s="109"/>
      <c r="HR52" s="109"/>
      <c r="HS52" s="109"/>
      <c r="HT52" s="109"/>
      <c r="HU52" s="109"/>
      <c r="HV52" s="109"/>
      <c r="HW52" s="109"/>
    </row>
    <row r="53" spans="1:231" s="99" customFormat="1" ht="16.5" customHeight="1">
      <c r="A53" s="130">
        <v>606010</v>
      </c>
      <c r="B53" s="120" t="s">
        <v>60</v>
      </c>
      <c r="C53" s="120">
        <v>2091</v>
      </c>
      <c r="D53" s="120">
        <v>1893</v>
      </c>
      <c r="E53" s="120">
        <v>1806</v>
      </c>
      <c r="F53" s="131">
        <f t="shared" si="33"/>
        <v>-0.07064453614763067</v>
      </c>
      <c r="G53" s="120">
        <v>1495</v>
      </c>
      <c r="H53" s="132">
        <v>0.8</v>
      </c>
      <c r="I53" s="136">
        <v>1900</v>
      </c>
      <c r="J53" s="136">
        <v>1850</v>
      </c>
      <c r="K53" s="136">
        <v>1830</v>
      </c>
      <c r="L53" s="143">
        <f aca="true" t="shared" si="37" ref="L53:N53">ROUND(I53*$H53,0)</f>
        <v>1520</v>
      </c>
      <c r="M53" s="143">
        <f t="shared" si="37"/>
        <v>1480</v>
      </c>
      <c r="N53" s="143">
        <f t="shared" si="37"/>
        <v>1464</v>
      </c>
      <c r="HL53" s="109"/>
      <c r="HM53" s="109"/>
      <c r="HN53" s="109"/>
      <c r="HO53" s="109"/>
      <c r="HP53" s="109"/>
      <c r="HQ53" s="109"/>
      <c r="HR53" s="109"/>
      <c r="HS53" s="109"/>
      <c r="HT53" s="109"/>
      <c r="HU53" s="109"/>
      <c r="HV53" s="109"/>
      <c r="HW53" s="109"/>
    </row>
    <row r="54" spans="1:231" s="99" customFormat="1" ht="16.5" customHeight="1">
      <c r="A54" s="130">
        <v>606011</v>
      </c>
      <c r="B54" s="120" t="s">
        <v>295</v>
      </c>
      <c r="C54" s="120">
        <v>3125</v>
      </c>
      <c r="D54" s="120">
        <v>2563</v>
      </c>
      <c r="E54" s="120">
        <v>2347</v>
      </c>
      <c r="F54" s="131">
        <f t="shared" si="33"/>
        <v>-0.133374359945426</v>
      </c>
      <c r="G54" s="120">
        <v>1208</v>
      </c>
      <c r="H54" s="132">
        <v>0.8</v>
      </c>
      <c r="I54" s="120">
        <f>ROUND(E54*(1+$F54)^2,0)</f>
        <v>1763</v>
      </c>
      <c r="J54" s="120">
        <f>ROUND(I54*(1+$F54),0)</f>
        <v>1528</v>
      </c>
      <c r="K54" s="120">
        <f>ROUND(J54*(1+$F54),0)</f>
        <v>1324</v>
      </c>
      <c r="L54" s="143">
        <f>ROUND(I54*$H54,0)</f>
        <v>1410</v>
      </c>
      <c r="M54" s="143">
        <f>ROUND(J54*$H54,0)</f>
        <v>1222</v>
      </c>
      <c r="N54" s="143">
        <f>ROUND(K54*$H54,0)</f>
        <v>1059</v>
      </c>
      <c r="HL54" s="109"/>
      <c r="HM54" s="109"/>
      <c r="HN54" s="109"/>
      <c r="HO54" s="109"/>
      <c r="HP54" s="109"/>
      <c r="HQ54" s="109"/>
      <c r="HR54" s="109"/>
      <c r="HS54" s="109"/>
      <c r="HT54" s="109"/>
      <c r="HU54" s="109"/>
      <c r="HV54" s="109"/>
      <c r="HW54" s="109"/>
    </row>
    <row r="55" spans="1:14" s="106" customFormat="1" ht="16.5" customHeight="1">
      <c r="A55" s="115">
        <v>607</v>
      </c>
      <c r="B55" s="116" t="s">
        <v>62</v>
      </c>
      <c r="C55" s="116">
        <f aca="true" t="shared" si="38" ref="C55:G55">SUM(C56:C62)</f>
        <v>48959</v>
      </c>
      <c r="D55" s="116">
        <f t="shared" si="38"/>
        <v>34583</v>
      </c>
      <c r="E55" s="116">
        <f t="shared" si="38"/>
        <v>31574</v>
      </c>
      <c r="F55" s="116"/>
      <c r="G55" s="116">
        <f t="shared" si="38"/>
        <v>17276</v>
      </c>
      <c r="H55" s="122"/>
      <c r="I55" s="116">
        <f aca="true" t="shared" si="39" ref="I55:N55">SUM(I56:I62)</f>
        <v>22481</v>
      </c>
      <c r="J55" s="116">
        <f t="shared" si="39"/>
        <v>19710</v>
      </c>
      <c r="K55" s="116">
        <f t="shared" si="39"/>
        <v>17707</v>
      </c>
      <c r="L55" s="145">
        <f t="shared" si="39"/>
        <v>17984</v>
      </c>
      <c r="M55" s="145">
        <f t="shared" si="39"/>
        <v>15769</v>
      </c>
      <c r="N55" s="145">
        <f t="shared" si="39"/>
        <v>14166</v>
      </c>
    </row>
    <row r="56" spans="1:14" s="99" customFormat="1" ht="16.5" customHeight="1">
      <c r="A56" s="130">
        <v>607001</v>
      </c>
      <c r="B56" s="120" t="s">
        <v>63</v>
      </c>
      <c r="C56" s="120">
        <v>1370</v>
      </c>
      <c r="D56" s="120">
        <v>1066</v>
      </c>
      <c r="E56" s="120">
        <v>1068</v>
      </c>
      <c r="F56" s="131">
        <f aca="true" t="shared" si="40" ref="F56:F62">(E56/C56)^(1/2)-1</f>
        <v>-0.117071892057105</v>
      </c>
      <c r="G56" s="120"/>
      <c r="H56" s="132">
        <v>0.8</v>
      </c>
      <c r="I56" s="120">
        <f aca="true" t="shared" si="41" ref="I56:I62">ROUND(E56*(1+$F56)^2,0)</f>
        <v>833</v>
      </c>
      <c r="J56" s="120">
        <f aca="true" t="shared" si="42" ref="J56:K59">ROUND(I56*(1+$F56),0)</f>
        <v>735</v>
      </c>
      <c r="K56" s="120">
        <f t="shared" si="42"/>
        <v>649</v>
      </c>
      <c r="L56" s="143">
        <f aca="true" t="shared" si="43" ref="L56:N59">ROUND(I56*$H56,0)</f>
        <v>666</v>
      </c>
      <c r="M56" s="143">
        <f t="shared" si="43"/>
        <v>588</v>
      </c>
      <c r="N56" s="143">
        <f t="shared" si="43"/>
        <v>519</v>
      </c>
    </row>
    <row r="57" spans="1:231" s="99" customFormat="1" ht="16.5" customHeight="1">
      <c r="A57" s="130">
        <v>607002</v>
      </c>
      <c r="B57" s="120" t="s">
        <v>64</v>
      </c>
      <c r="C57" s="120">
        <v>7503</v>
      </c>
      <c r="D57" s="120">
        <v>8183</v>
      </c>
      <c r="E57" s="120">
        <v>8016</v>
      </c>
      <c r="F57" s="131">
        <f t="shared" si="40"/>
        <v>0.0336211351068747</v>
      </c>
      <c r="G57" s="120">
        <v>5769</v>
      </c>
      <c r="H57" s="132">
        <v>0.8</v>
      </c>
      <c r="I57" s="120">
        <f t="shared" si="41"/>
        <v>8564</v>
      </c>
      <c r="J57" s="120">
        <f t="shared" si="42"/>
        <v>8852</v>
      </c>
      <c r="K57" s="120">
        <f t="shared" si="42"/>
        <v>9150</v>
      </c>
      <c r="L57" s="143">
        <f t="shared" si="43"/>
        <v>6851</v>
      </c>
      <c r="M57" s="143">
        <f t="shared" si="43"/>
        <v>7082</v>
      </c>
      <c r="N57" s="143">
        <f t="shared" si="43"/>
        <v>7320</v>
      </c>
      <c r="HL57" s="109"/>
      <c r="HM57" s="109"/>
      <c r="HN57" s="109"/>
      <c r="HO57" s="109"/>
      <c r="HP57" s="109"/>
      <c r="HQ57" s="109"/>
      <c r="HR57" s="109"/>
      <c r="HS57" s="109"/>
      <c r="HT57" s="109"/>
      <c r="HU57" s="109"/>
      <c r="HV57" s="109"/>
      <c r="HW57" s="109"/>
    </row>
    <row r="58" spans="1:231" s="99" customFormat="1" ht="16.5" customHeight="1">
      <c r="A58" s="130">
        <v>607003</v>
      </c>
      <c r="B58" s="120" t="s">
        <v>65</v>
      </c>
      <c r="C58" s="120">
        <v>5806</v>
      </c>
      <c r="D58" s="120">
        <v>2364</v>
      </c>
      <c r="E58" s="120">
        <v>2523</v>
      </c>
      <c r="F58" s="131">
        <f t="shared" si="40"/>
        <v>-0.34079558175314884</v>
      </c>
      <c r="G58" s="120">
        <v>296</v>
      </c>
      <c r="H58" s="132">
        <v>0.8</v>
      </c>
      <c r="I58" s="120">
        <f t="shared" si="41"/>
        <v>1096</v>
      </c>
      <c r="J58" s="120">
        <f t="shared" si="42"/>
        <v>722</v>
      </c>
      <c r="K58" s="120">
        <f t="shared" si="42"/>
        <v>476</v>
      </c>
      <c r="L58" s="143">
        <f t="shared" si="43"/>
        <v>877</v>
      </c>
      <c r="M58" s="143">
        <f t="shared" si="43"/>
        <v>578</v>
      </c>
      <c r="N58" s="143">
        <f t="shared" si="43"/>
        <v>381</v>
      </c>
      <c r="HL58" s="109"/>
      <c r="HM58" s="109"/>
      <c r="HN58" s="109"/>
      <c r="HO58" s="109"/>
      <c r="HP58" s="109"/>
      <c r="HQ58" s="109"/>
      <c r="HR58" s="109"/>
      <c r="HS58" s="109"/>
      <c r="HT58" s="109"/>
      <c r="HU58" s="109"/>
      <c r="HV58" s="109"/>
      <c r="HW58" s="109"/>
    </row>
    <row r="59" spans="1:231" s="99" customFormat="1" ht="16.5" customHeight="1">
      <c r="A59" s="130">
        <v>607004</v>
      </c>
      <c r="B59" s="120" t="s">
        <v>66</v>
      </c>
      <c r="C59" s="120">
        <v>8295</v>
      </c>
      <c r="D59" s="120">
        <v>4879</v>
      </c>
      <c r="E59" s="120">
        <v>3922</v>
      </c>
      <c r="F59" s="131">
        <f t="shared" si="40"/>
        <v>-0.3123845924033436</v>
      </c>
      <c r="G59" s="120">
        <v>2084</v>
      </c>
      <c r="H59" s="132">
        <v>0.8</v>
      </c>
      <c r="I59" s="120">
        <f t="shared" si="41"/>
        <v>1854</v>
      </c>
      <c r="J59" s="120">
        <f t="shared" si="42"/>
        <v>1275</v>
      </c>
      <c r="K59" s="120">
        <f t="shared" si="42"/>
        <v>877</v>
      </c>
      <c r="L59" s="143">
        <f t="shared" si="43"/>
        <v>1483</v>
      </c>
      <c r="M59" s="143">
        <f t="shared" si="43"/>
        <v>1020</v>
      </c>
      <c r="N59" s="143">
        <f t="shared" si="43"/>
        <v>702</v>
      </c>
      <c r="HL59" s="109"/>
      <c r="HM59" s="109"/>
      <c r="HN59" s="109"/>
      <c r="HO59" s="109"/>
      <c r="HP59" s="109"/>
      <c r="HQ59" s="109"/>
      <c r="HR59" s="109"/>
      <c r="HS59" s="109"/>
      <c r="HT59" s="109"/>
      <c r="HU59" s="109"/>
      <c r="HV59" s="109"/>
      <c r="HW59" s="109"/>
    </row>
    <row r="60" spans="1:231" s="99" customFormat="1" ht="16.5" customHeight="1">
      <c r="A60" s="130">
        <v>607005</v>
      </c>
      <c r="B60" s="120" t="s">
        <v>67</v>
      </c>
      <c r="C60" s="120">
        <v>12352</v>
      </c>
      <c r="D60" s="120">
        <v>7526</v>
      </c>
      <c r="E60" s="120">
        <v>6793</v>
      </c>
      <c r="F60" s="131">
        <f t="shared" si="40"/>
        <v>-0.2584129013592089</v>
      </c>
      <c r="G60" s="120">
        <v>4143</v>
      </c>
      <c r="H60" s="132">
        <v>0.8</v>
      </c>
      <c r="I60" s="120">
        <f t="shared" si="41"/>
        <v>3736</v>
      </c>
      <c r="J60" s="120">
        <f aca="true" t="shared" si="44" ref="J60:K62">ROUND(I60*(1+$F60),0)</f>
        <v>2771</v>
      </c>
      <c r="K60" s="120">
        <f t="shared" si="44"/>
        <v>2055</v>
      </c>
      <c r="L60" s="143">
        <f aca="true" t="shared" si="45" ref="L60:N62">ROUND(I60*$H60,0)</f>
        <v>2989</v>
      </c>
      <c r="M60" s="143">
        <f t="shared" si="45"/>
        <v>2217</v>
      </c>
      <c r="N60" s="143">
        <f t="shared" si="45"/>
        <v>1644</v>
      </c>
      <c r="HL60" s="109"/>
      <c r="HM60" s="109"/>
      <c r="HN60" s="109"/>
      <c r="HO60" s="109"/>
      <c r="HP60" s="109"/>
      <c r="HQ60" s="109"/>
      <c r="HR60" s="109"/>
      <c r="HS60" s="109"/>
      <c r="HT60" s="109"/>
      <c r="HU60" s="109"/>
      <c r="HV60" s="109"/>
      <c r="HW60" s="109"/>
    </row>
    <row r="61" spans="1:231" s="99" customFormat="1" ht="16.5" customHeight="1">
      <c r="A61" s="130">
        <v>607006</v>
      </c>
      <c r="B61" s="120" t="s">
        <v>68</v>
      </c>
      <c r="C61" s="120">
        <v>7914</v>
      </c>
      <c r="D61" s="120">
        <v>6720</v>
      </c>
      <c r="E61" s="120">
        <v>6000</v>
      </c>
      <c r="F61" s="131">
        <f t="shared" si="40"/>
        <v>-0.1292818402476511</v>
      </c>
      <c r="G61" s="120">
        <v>3412</v>
      </c>
      <c r="H61" s="132">
        <v>0.8</v>
      </c>
      <c r="I61" s="120">
        <f t="shared" si="41"/>
        <v>4549</v>
      </c>
      <c r="J61" s="120">
        <f t="shared" si="44"/>
        <v>3961</v>
      </c>
      <c r="K61" s="120">
        <f t="shared" si="44"/>
        <v>3449</v>
      </c>
      <c r="L61" s="143">
        <f t="shared" si="45"/>
        <v>3639</v>
      </c>
      <c r="M61" s="143">
        <f t="shared" si="45"/>
        <v>3169</v>
      </c>
      <c r="N61" s="143">
        <f t="shared" si="45"/>
        <v>2759</v>
      </c>
      <c r="HL61" s="109"/>
      <c r="HM61" s="109"/>
      <c r="HN61" s="109"/>
      <c r="HO61" s="109"/>
      <c r="HP61" s="109"/>
      <c r="HQ61" s="109"/>
      <c r="HR61" s="109"/>
      <c r="HS61" s="109"/>
      <c r="HT61" s="109"/>
      <c r="HU61" s="109"/>
      <c r="HV61" s="109"/>
      <c r="HW61" s="109"/>
    </row>
    <row r="62" spans="1:231" s="99" customFormat="1" ht="16.5" customHeight="1">
      <c r="A62" s="130">
        <v>607007</v>
      </c>
      <c r="B62" s="120" t="s">
        <v>69</v>
      </c>
      <c r="C62" s="120">
        <v>5719</v>
      </c>
      <c r="D62" s="120">
        <v>3845</v>
      </c>
      <c r="E62" s="120">
        <v>3252</v>
      </c>
      <c r="F62" s="131">
        <f t="shared" si="40"/>
        <v>-0.24592382379205724</v>
      </c>
      <c r="G62" s="120">
        <v>1572</v>
      </c>
      <c r="H62" s="132">
        <v>0.8</v>
      </c>
      <c r="I62" s="120">
        <f t="shared" si="41"/>
        <v>1849</v>
      </c>
      <c r="J62" s="120">
        <f t="shared" si="44"/>
        <v>1394</v>
      </c>
      <c r="K62" s="120">
        <f t="shared" si="44"/>
        <v>1051</v>
      </c>
      <c r="L62" s="143">
        <f t="shared" si="45"/>
        <v>1479</v>
      </c>
      <c r="M62" s="143">
        <f t="shared" si="45"/>
        <v>1115</v>
      </c>
      <c r="N62" s="143">
        <f t="shared" si="45"/>
        <v>841</v>
      </c>
      <c r="HL62" s="109"/>
      <c r="HM62" s="109"/>
      <c r="HN62" s="109"/>
      <c r="HO62" s="109"/>
      <c r="HP62" s="109"/>
      <c r="HQ62" s="109"/>
      <c r="HR62" s="109"/>
      <c r="HS62" s="109"/>
      <c r="HT62" s="109"/>
      <c r="HU62" s="109"/>
      <c r="HV62" s="109"/>
      <c r="HW62" s="109"/>
    </row>
    <row r="63" spans="1:219" s="108" customFormat="1" ht="16.5" customHeight="1">
      <c r="A63" s="115">
        <v>608</v>
      </c>
      <c r="B63" s="116" t="s">
        <v>70</v>
      </c>
      <c r="C63" s="116">
        <f>SUM(C64:C72)</f>
        <v>69168</v>
      </c>
      <c r="D63" s="116">
        <f>SUM(D64:D72)</f>
        <v>52204</v>
      </c>
      <c r="E63" s="116">
        <f>SUM(E64:E72)</f>
        <v>50235</v>
      </c>
      <c r="F63" s="116"/>
      <c r="G63" s="116">
        <f>SUM(G64:G72)</f>
        <v>23493</v>
      </c>
      <c r="H63" s="122"/>
      <c r="I63" s="116">
        <f aca="true" t="shared" si="46" ref="I63:N63">SUM(I64:I72)</f>
        <v>36866</v>
      </c>
      <c r="J63" s="116">
        <f t="shared" si="46"/>
        <v>31711</v>
      </c>
      <c r="K63" s="116">
        <f t="shared" si="46"/>
        <v>27353</v>
      </c>
      <c r="L63" s="145">
        <f t="shared" si="46"/>
        <v>29492</v>
      </c>
      <c r="M63" s="145">
        <f t="shared" si="46"/>
        <v>25367</v>
      </c>
      <c r="N63" s="145">
        <f t="shared" si="46"/>
        <v>21882</v>
      </c>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f>SUM(B63:HH63)</f>
        <v>367771</v>
      </c>
      <c r="HJ63" s="106"/>
      <c r="HK63" s="106"/>
    </row>
    <row r="64" spans="1:14" s="99" customFormat="1" ht="16.5" customHeight="1">
      <c r="A64" s="130">
        <v>608001</v>
      </c>
      <c r="B64" s="120" t="s">
        <v>71</v>
      </c>
      <c r="C64" s="120"/>
      <c r="D64" s="120"/>
      <c r="E64" s="120"/>
      <c r="F64" s="131"/>
      <c r="G64" s="120"/>
      <c r="H64" s="122"/>
      <c r="I64" s="120">
        <f>ROUND(C64*(1+$F64),0)</f>
        <v>0</v>
      </c>
      <c r="J64" s="120">
        <f>ROUND(D64*(1+$F64),0)</f>
        <v>0</v>
      </c>
      <c r="K64" s="120">
        <f>ROUND(E64*(1+$F64),0)</f>
        <v>0</v>
      </c>
      <c r="L64" s="143"/>
      <c r="M64" s="143"/>
      <c r="N64" s="143"/>
    </row>
    <row r="65" spans="1:231" s="99" customFormat="1" ht="16.5" customHeight="1">
      <c r="A65" s="130">
        <v>608002</v>
      </c>
      <c r="B65" s="120" t="s">
        <v>72</v>
      </c>
      <c r="C65" s="120">
        <v>5492</v>
      </c>
      <c r="D65" s="120">
        <v>4358</v>
      </c>
      <c r="E65" s="120">
        <v>4394</v>
      </c>
      <c r="F65" s="131">
        <f aca="true" t="shared" si="47" ref="F65:F72">(E65/C65)^(1/2)-1</f>
        <v>-0.1055320949234988</v>
      </c>
      <c r="G65" s="120">
        <v>3219</v>
      </c>
      <c r="H65" s="132">
        <v>0.8</v>
      </c>
      <c r="I65" s="120">
        <f aca="true" t="shared" si="48" ref="I65:I72">ROUND(E65*(1+$F65)^2,0)</f>
        <v>3516</v>
      </c>
      <c r="J65" s="120">
        <f>ROUND(I65*(1+$F65),0)</f>
        <v>3145</v>
      </c>
      <c r="K65" s="120">
        <f>ROUND(J65*(1+$F65),0)</f>
        <v>2813</v>
      </c>
      <c r="L65" s="143">
        <f>ROUND(I65*$H65,0)</f>
        <v>2813</v>
      </c>
      <c r="M65" s="143">
        <f>ROUND(J65*$H65,0)</f>
        <v>2516</v>
      </c>
      <c r="N65" s="143">
        <f>ROUND(K65*$H65,0)</f>
        <v>2250</v>
      </c>
      <c r="HL65" s="109"/>
      <c r="HM65" s="109"/>
      <c r="HN65" s="109"/>
      <c r="HO65" s="109"/>
      <c r="HP65" s="109"/>
      <c r="HQ65" s="109"/>
      <c r="HR65" s="109"/>
      <c r="HS65" s="109"/>
      <c r="HT65" s="109"/>
      <c r="HU65" s="109"/>
      <c r="HV65" s="109"/>
      <c r="HW65" s="109"/>
    </row>
    <row r="66" spans="1:231" s="99" customFormat="1" ht="16.5" customHeight="1">
      <c r="A66" s="130">
        <v>608003</v>
      </c>
      <c r="B66" s="120" t="s">
        <v>73</v>
      </c>
      <c r="C66" s="120">
        <v>15797</v>
      </c>
      <c r="D66" s="120">
        <v>11070</v>
      </c>
      <c r="E66" s="120">
        <v>10132</v>
      </c>
      <c r="F66" s="131">
        <f t="shared" si="47"/>
        <v>-0.19913321629530578</v>
      </c>
      <c r="G66" s="120">
        <v>4568</v>
      </c>
      <c r="H66" s="132">
        <v>0.8</v>
      </c>
      <c r="I66" s="120">
        <f t="shared" si="48"/>
        <v>6499</v>
      </c>
      <c r="J66" s="120">
        <f>ROUND(I66*(1+$F66),0)</f>
        <v>5205</v>
      </c>
      <c r="K66" s="120">
        <f>ROUND(J66*(1+$F66),0)</f>
        <v>4169</v>
      </c>
      <c r="L66" s="143">
        <f>ROUND(I66*$H66,0)</f>
        <v>5199</v>
      </c>
      <c r="M66" s="143">
        <f>ROUND(J66*$H66,0)</f>
        <v>4164</v>
      </c>
      <c r="N66" s="143">
        <f>ROUND(K66*$H66,0)</f>
        <v>3335</v>
      </c>
      <c r="HL66" s="109"/>
      <c r="HM66" s="109"/>
      <c r="HN66" s="109"/>
      <c r="HO66" s="109"/>
      <c r="HP66" s="109"/>
      <c r="HQ66" s="109"/>
      <c r="HR66" s="109"/>
      <c r="HS66" s="109"/>
      <c r="HT66" s="109"/>
      <c r="HU66" s="109"/>
      <c r="HV66" s="109"/>
      <c r="HW66" s="109"/>
    </row>
    <row r="67" spans="1:231" s="99" customFormat="1" ht="16.5" customHeight="1">
      <c r="A67" s="130">
        <v>608004</v>
      </c>
      <c r="B67" s="120" t="s">
        <v>74</v>
      </c>
      <c r="C67" s="120">
        <v>8500</v>
      </c>
      <c r="D67" s="120">
        <v>7045</v>
      </c>
      <c r="E67" s="120">
        <v>7501</v>
      </c>
      <c r="F67" s="131">
        <f t="shared" si="47"/>
        <v>-0.06060094303044239</v>
      </c>
      <c r="G67" s="120">
        <v>4862</v>
      </c>
      <c r="H67" s="132">
        <v>0.8</v>
      </c>
      <c r="I67" s="120">
        <f t="shared" si="48"/>
        <v>6619</v>
      </c>
      <c r="J67" s="120">
        <f aca="true" t="shared" si="49" ref="J67:K69">ROUND(I67*(1+$F67),0)</f>
        <v>6218</v>
      </c>
      <c r="K67" s="120">
        <f t="shared" si="49"/>
        <v>5841</v>
      </c>
      <c r="L67" s="143">
        <f aca="true" t="shared" si="50" ref="L67:N69">ROUND(I67*$H67,0)</f>
        <v>5295</v>
      </c>
      <c r="M67" s="143">
        <f t="shared" si="50"/>
        <v>4974</v>
      </c>
      <c r="N67" s="143">
        <f t="shared" si="50"/>
        <v>4673</v>
      </c>
      <c r="HL67" s="109"/>
      <c r="HM67" s="109"/>
      <c r="HN67" s="109"/>
      <c r="HO67" s="109"/>
      <c r="HP67" s="109"/>
      <c r="HQ67" s="109"/>
      <c r="HR67" s="109"/>
      <c r="HS67" s="109"/>
      <c r="HT67" s="109"/>
      <c r="HU67" s="109"/>
      <c r="HV67" s="109"/>
      <c r="HW67" s="109"/>
    </row>
    <row r="68" spans="1:231" s="99" customFormat="1" ht="16.5" customHeight="1">
      <c r="A68" s="130">
        <v>608005</v>
      </c>
      <c r="B68" s="120" t="s">
        <v>75</v>
      </c>
      <c r="C68" s="120">
        <v>3009</v>
      </c>
      <c r="D68" s="120">
        <v>2571</v>
      </c>
      <c r="E68" s="120">
        <v>2336</v>
      </c>
      <c r="F68" s="131">
        <f t="shared" si="47"/>
        <v>-0.11889974820934823</v>
      </c>
      <c r="G68" s="120">
        <v>964</v>
      </c>
      <c r="H68" s="132">
        <v>0.8</v>
      </c>
      <c r="I68" s="120">
        <f t="shared" si="48"/>
        <v>1814</v>
      </c>
      <c r="J68" s="120">
        <f t="shared" si="49"/>
        <v>1598</v>
      </c>
      <c r="K68" s="120">
        <f t="shared" si="49"/>
        <v>1408</v>
      </c>
      <c r="L68" s="143">
        <f t="shared" si="50"/>
        <v>1451</v>
      </c>
      <c r="M68" s="143">
        <f t="shared" si="50"/>
        <v>1278</v>
      </c>
      <c r="N68" s="143">
        <f t="shared" si="50"/>
        <v>1126</v>
      </c>
      <c r="HL68" s="109"/>
      <c r="HM68" s="109"/>
      <c r="HN68" s="109"/>
      <c r="HO68" s="109"/>
      <c r="HP68" s="109"/>
      <c r="HQ68" s="109"/>
      <c r="HR68" s="109"/>
      <c r="HS68" s="109"/>
      <c r="HT68" s="109"/>
      <c r="HU68" s="109"/>
      <c r="HV68" s="109"/>
      <c r="HW68" s="109"/>
    </row>
    <row r="69" spans="1:231" s="99" customFormat="1" ht="16.5" customHeight="1">
      <c r="A69" s="130">
        <v>608006</v>
      </c>
      <c r="B69" s="120" t="s">
        <v>76</v>
      </c>
      <c r="C69" s="120">
        <v>3294</v>
      </c>
      <c r="D69" s="120">
        <v>2414</v>
      </c>
      <c r="E69" s="120">
        <v>2297</v>
      </c>
      <c r="F69" s="131">
        <f t="shared" si="47"/>
        <v>-0.16493804061195516</v>
      </c>
      <c r="G69" s="120">
        <v>948</v>
      </c>
      <c r="H69" s="132">
        <v>0.8</v>
      </c>
      <c r="I69" s="120">
        <f t="shared" si="48"/>
        <v>1602</v>
      </c>
      <c r="J69" s="120">
        <f t="shared" si="49"/>
        <v>1338</v>
      </c>
      <c r="K69" s="120">
        <f t="shared" si="49"/>
        <v>1117</v>
      </c>
      <c r="L69" s="143">
        <f t="shared" si="50"/>
        <v>1282</v>
      </c>
      <c r="M69" s="143">
        <f t="shared" si="50"/>
        <v>1070</v>
      </c>
      <c r="N69" s="143">
        <f t="shared" si="50"/>
        <v>894</v>
      </c>
      <c r="HL69" s="109"/>
      <c r="HM69" s="109"/>
      <c r="HN69" s="109"/>
      <c r="HO69" s="109"/>
      <c r="HP69" s="109"/>
      <c r="HQ69" s="109"/>
      <c r="HR69" s="109"/>
      <c r="HS69" s="109"/>
      <c r="HT69" s="109"/>
      <c r="HU69" s="109"/>
      <c r="HV69" s="109"/>
      <c r="HW69" s="109"/>
    </row>
    <row r="70" spans="1:231" s="99" customFormat="1" ht="16.5" customHeight="1">
      <c r="A70" s="130">
        <v>608007</v>
      </c>
      <c r="B70" s="120" t="s">
        <v>77</v>
      </c>
      <c r="C70" s="120">
        <v>5219</v>
      </c>
      <c r="D70" s="120">
        <v>4177</v>
      </c>
      <c r="E70" s="120">
        <v>3666</v>
      </c>
      <c r="F70" s="131">
        <f t="shared" si="47"/>
        <v>-0.1618869906967868</v>
      </c>
      <c r="G70" s="120">
        <v>1493</v>
      </c>
      <c r="H70" s="132">
        <v>0.8</v>
      </c>
      <c r="I70" s="120">
        <f t="shared" si="48"/>
        <v>2575</v>
      </c>
      <c r="J70" s="120">
        <f aca="true" t="shared" si="51" ref="J69:K72">ROUND(I70*(1+$F70),0)</f>
        <v>2158</v>
      </c>
      <c r="K70" s="120">
        <f t="shared" si="51"/>
        <v>1809</v>
      </c>
      <c r="L70" s="143">
        <f aca="true" t="shared" si="52" ref="L69:N72">ROUND(I70*$H70,0)</f>
        <v>2060</v>
      </c>
      <c r="M70" s="143">
        <f t="shared" si="52"/>
        <v>1726</v>
      </c>
      <c r="N70" s="143">
        <f t="shared" si="52"/>
        <v>1447</v>
      </c>
      <c r="HL70" s="109"/>
      <c r="HM70" s="109"/>
      <c r="HN70" s="109"/>
      <c r="HO70" s="109"/>
      <c r="HP70" s="109"/>
      <c r="HQ70" s="109"/>
      <c r="HR70" s="109"/>
      <c r="HS70" s="109"/>
      <c r="HT70" s="109"/>
      <c r="HU70" s="109"/>
      <c r="HV70" s="109"/>
      <c r="HW70" s="109"/>
    </row>
    <row r="71" spans="1:231" s="99" customFormat="1" ht="16.5" customHeight="1">
      <c r="A71" s="130">
        <v>608008</v>
      </c>
      <c r="B71" s="120" t="s">
        <v>78</v>
      </c>
      <c r="C71" s="120">
        <v>7367</v>
      </c>
      <c r="D71" s="120">
        <v>5926</v>
      </c>
      <c r="E71" s="120">
        <v>5528</v>
      </c>
      <c r="F71" s="131">
        <f t="shared" si="47"/>
        <v>-0.13375910609309205</v>
      </c>
      <c r="G71" s="120">
        <v>1675</v>
      </c>
      <c r="H71" s="132">
        <v>0.8</v>
      </c>
      <c r="I71" s="120">
        <f t="shared" si="48"/>
        <v>4148</v>
      </c>
      <c r="J71" s="120">
        <f t="shared" si="51"/>
        <v>3593</v>
      </c>
      <c r="K71" s="120">
        <f t="shared" si="51"/>
        <v>3112</v>
      </c>
      <c r="L71" s="143">
        <f t="shared" si="52"/>
        <v>3318</v>
      </c>
      <c r="M71" s="143">
        <f t="shared" si="52"/>
        <v>2874</v>
      </c>
      <c r="N71" s="143">
        <f t="shared" si="52"/>
        <v>2490</v>
      </c>
      <c r="HL71" s="109"/>
      <c r="HM71" s="109"/>
      <c r="HN71" s="109"/>
      <c r="HO71" s="109"/>
      <c r="HP71" s="109"/>
      <c r="HQ71" s="109"/>
      <c r="HR71" s="109"/>
      <c r="HS71" s="109"/>
      <c r="HT71" s="109"/>
      <c r="HU71" s="109"/>
      <c r="HV71" s="109"/>
      <c r="HW71" s="109"/>
    </row>
    <row r="72" spans="1:231" s="99" customFormat="1" ht="16.5" customHeight="1">
      <c r="A72" s="130">
        <v>608009</v>
      </c>
      <c r="B72" s="120" t="s">
        <v>79</v>
      </c>
      <c r="C72" s="120">
        <v>20490</v>
      </c>
      <c r="D72" s="120">
        <v>14643</v>
      </c>
      <c r="E72" s="120">
        <v>14381</v>
      </c>
      <c r="F72" s="131">
        <f t="shared" si="47"/>
        <v>-0.16223239308173198</v>
      </c>
      <c r="G72" s="120">
        <v>5764</v>
      </c>
      <c r="H72" s="132">
        <v>0.8</v>
      </c>
      <c r="I72" s="120">
        <f t="shared" si="48"/>
        <v>10093</v>
      </c>
      <c r="J72" s="120">
        <f t="shared" si="51"/>
        <v>8456</v>
      </c>
      <c r="K72" s="120">
        <f t="shared" si="51"/>
        <v>7084</v>
      </c>
      <c r="L72" s="143">
        <f t="shared" si="52"/>
        <v>8074</v>
      </c>
      <c r="M72" s="143">
        <f t="shared" si="52"/>
        <v>6765</v>
      </c>
      <c r="N72" s="143">
        <f t="shared" si="52"/>
        <v>5667</v>
      </c>
      <c r="HL72" s="109"/>
      <c r="HM72" s="109"/>
      <c r="HN72" s="109"/>
      <c r="HO72" s="109"/>
      <c r="HP72" s="109"/>
      <c r="HQ72" s="109"/>
      <c r="HR72" s="109"/>
      <c r="HS72" s="109"/>
      <c r="HT72" s="109"/>
      <c r="HU72" s="109"/>
      <c r="HV72" s="109"/>
      <c r="HW72" s="109"/>
    </row>
    <row r="73" spans="1:14" s="106" customFormat="1" ht="16.5" customHeight="1">
      <c r="A73" s="115">
        <v>609</v>
      </c>
      <c r="B73" s="116" t="s">
        <v>80</v>
      </c>
      <c r="C73" s="116">
        <f aca="true" t="shared" si="53" ref="C73:G73">SUM(C74:C79)</f>
        <v>70216</v>
      </c>
      <c r="D73" s="116">
        <f t="shared" si="53"/>
        <v>56852</v>
      </c>
      <c r="E73" s="116">
        <f t="shared" si="53"/>
        <v>56832</v>
      </c>
      <c r="F73" s="116"/>
      <c r="G73" s="116">
        <f t="shared" si="53"/>
        <v>42054</v>
      </c>
      <c r="H73" s="122"/>
      <c r="I73" s="116">
        <f aca="true" t="shared" si="54" ref="I73:N73">SUM(I74:I79)</f>
        <v>49674</v>
      </c>
      <c r="J73" s="116">
        <f t="shared" si="54"/>
        <v>48202</v>
      </c>
      <c r="K73" s="116">
        <f t="shared" si="54"/>
        <v>48162</v>
      </c>
      <c r="L73" s="145">
        <f t="shared" si="54"/>
        <v>39738</v>
      </c>
      <c r="M73" s="145">
        <f t="shared" si="54"/>
        <v>38561</v>
      </c>
      <c r="N73" s="145">
        <f t="shared" si="54"/>
        <v>38530</v>
      </c>
    </row>
    <row r="74" spans="1:14" s="99" customFormat="1" ht="16.5" customHeight="1">
      <c r="A74" s="130">
        <v>609001</v>
      </c>
      <c r="B74" s="120" t="s">
        <v>81</v>
      </c>
      <c r="C74" s="120">
        <v>3194</v>
      </c>
      <c r="D74" s="120">
        <v>4400</v>
      </c>
      <c r="E74" s="120">
        <v>5360</v>
      </c>
      <c r="F74" s="131">
        <f aca="true" t="shared" si="55" ref="F74:F79">(E74/C74)^(1/2)-1</f>
        <v>0.2954329487603271</v>
      </c>
      <c r="G74" s="120">
        <v>2570</v>
      </c>
      <c r="H74" s="132">
        <v>0.8</v>
      </c>
      <c r="I74" s="120">
        <f aca="true" t="shared" si="56" ref="I74:I79">ROUND(E74*(1+$F74)^2,0)</f>
        <v>8995</v>
      </c>
      <c r="J74" s="120">
        <f aca="true" t="shared" si="57" ref="J74:K79">ROUND(I74*(1+$F74),0)</f>
        <v>11652</v>
      </c>
      <c r="K74" s="120">
        <f t="shared" si="57"/>
        <v>15094</v>
      </c>
      <c r="L74" s="143">
        <f aca="true" t="shared" si="58" ref="L74:N79">ROUND(I74*$H74,0)</f>
        <v>7196</v>
      </c>
      <c r="M74" s="143">
        <f t="shared" si="58"/>
        <v>9322</v>
      </c>
      <c r="N74" s="143">
        <f t="shared" si="58"/>
        <v>12075</v>
      </c>
    </row>
    <row r="75" spans="1:231" s="99" customFormat="1" ht="16.5" customHeight="1">
      <c r="A75" s="130">
        <v>609002</v>
      </c>
      <c r="B75" s="120" t="s">
        <v>82</v>
      </c>
      <c r="C75" s="120">
        <v>27827</v>
      </c>
      <c r="D75" s="120">
        <v>17374</v>
      </c>
      <c r="E75" s="120">
        <v>17856</v>
      </c>
      <c r="F75" s="131">
        <f t="shared" si="55"/>
        <v>-0.198951346727541</v>
      </c>
      <c r="G75" s="120">
        <v>18193</v>
      </c>
      <c r="H75" s="132">
        <v>0.8</v>
      </c>
      <c r="I75" s="120">
        <f t="shared" si="56"/>
        <v>11458</v>
      </c>
      <c r="J75" s="120">
        <f t="shared" si="57"/>
        <v>9178</v>
      </c>
      <c r="K75" s="120">
        <f t="shared" si="57"/>
        <v>7352</v>
      </c>
      <c r="L75" s="143">
        <f t="shared" si="58"/>
        <v>9166</v>
      </c>
      <c r="M75" s="143">
        <f t="shared" si="58"/>
        <v>7342</v>
      </c>
      <c r="N75" s="143">
        <f t="shared" si="58"/>
        <v>5882</v>
      </c>
      <c r="HL75" s="109"/>
      <c r="HM75" s="109"/>
      <c r="HN75" s="109"/>
      <c r="HO75" s="109"/>
      <c r="HP75" s="109"/>
      <c r="HQ75" s="109"/>
      <c r="HR75" s="109"/>
      <c r="HS75" s="109"/>
      <c r="HT75" s="109"/>
      <c r="HU75" s="109"/>
      <c r="HV75" s="109"/>
      <c r="HW75" s="109"/>
    </row>
    <row r="76" spans="1:231" s="99" customFormat="1" ht="16.5" customHeight="1">
      <c r="A76" s="130">
        <v>609003</v>
      </c>
      <c r="B76" s="120" t="s">
        <v>83</v>
      </c>
      <c r="C76" s="120">
        <v>10949</v>
      </c>
      <c r="D76" s="120">
        <v>7638</v>
      </c>
      <c r="E76" s="120">
        <v>7792</v>
      </c>
      <c r="F76" s="131">
        <f t="shared" si="55"/>
        <v>-0.15639869275474794</v>
      </c>
      <c r="G76" s="120">
        <v>5973</v>
      </c>
      <c r="H76" s="132">
        <v>0.8</v>
      </c>
      <c r="I76" s="120">
        <f t="shared" si="56"/>
        <v>5545</v>
      </c>
      <c r="J76" s="120">
        <f t="shared" si="57"/>
        <v>4678</v>
      </c>
      <c r="K76" s="120">
        <f t="shared" si="57"/>
        <v>3946</v>
      </c>
      <c r="L76" s="143">
        <f t="shared" si="58"/>
        <v>4436</v>
      </c>
      <c r="M76" s="143">
        <f t="shared" si="58"/>
        <v>3742</v>
      </c>
      <c r="N76" s="143">
        <f t="shared" si="58"/>
        <v>3157</v>
      </c>
      <c r="HL76" s="109"/>
      <c r="HM76" s="109"/>
      <c r="HN76" s="109"/>
      <c r="HO76" s="109"/>
      <c r="HP76" s="109"/>
      <c r="HQ76" s="109"/>
      <c r="HR76" s="109"/>
      <c r="HS76" s="109"/>
      <c r="HT76" s="109"/>
      <c r="HU76" s="109"/>
      <c r="HV76" s="109"/>
      <c r="HW76" s="109"/>
    </row>
    <row r="77" spans="1:231" s="99" customFormat="1" ht="16.5" customHeight="1">
      <c r="A77" s="130">
        <v>609004</v>
      </c>
      <c r="B77" s="120" t="s">
        <v>84</v>
      </c>
      <c r="C77" s="120">
        <v>13803</v>
      </c>
      <c r="D77" s="120">
        <v>13463</v>
      </c>
      <c r="E77" s="120">
        <v>12823</v>
      </c>
      <c r="F77" s="131">
        <f t="shared" si="55"/>
        <v>-0.036153050622537375</v>
      </c>
      <c r="G77" s="120">
        <v>7860</v>
      </c>
      <c r="H77" s="132">
        <v>0.8</v>
      </c>
      <c r="I77" s="120">
        <f t="shared" si="56"/>
        <v>11913</v>
      </c>
      <c r="J77" s="120">
        <f t="shared" si="57"/>
        <v>11482</v>
      </c>
      <c r="K77" s="120">
        <f t="shared" si="57"/>
        <v>11067</v>
      </c>
      <c r="L77" s="143">
        <f t="shared" si="58"/>
        <v>9530</v>
      </c>
      <c r="M77" s="143">
        <f t="shared" si="58"/>
        <v>9186</v>
      </c>
      <c r="N77" s="143">
        <f t="shared" si="58"/>
        <v>8854</v>
      </c>
      <c r="HL77" s="109"/>
      <c r="HM77" s="109"/>
      <c r="HN77" s="109"/>
      <c r="HO77" s="109"/>
      <c r="HP77" s="109"/>
      <c r="HQ77" s="109"/>
      <c r="HR77" s="109"/>
      <c r="HS77" s="109"/>
      <c r="HT77" s="109"/>
      <c r="HU77" s="109"/>
      <c r="HV77" s="109"/>
      <c r="HW77" s="109"/>
    </row>
    <row r="78" spans="1:231" s="99" customFormat="1" ht="16.5" customHeight="1">
      <c r="A78" s="130">
        <v>609005</v>
      </c>
      <c r="B78" s="120" t="s">
        <v>85</v>
      </c>
      <c r="C78" s="120">
        <v>11538</v>
      </c>
      <c r="D78" s="120">
        <v>10751</v>
      </c>
      <c r="E78" s="120">
        <v>10012</v>
      </c>
      <c r="F78" s="131">
        <f t="shared" si="55"/>
        <v>-0.06847363090370895</v>
      </c>
      <c r="G78" s="120">
        <v>6209</v>
      </c>
      <c r="H78" s="132">
        <v>0.8</v>
      </c>
      <c r="I78" s="120">
        <f t="shared" si="56"/>
        <v>8688</v>
      </c>
      <c r="J78" s="120">
        <f t="shared" si="57"/>
        <v>8093</v>
      </c>
      <c r="K78" s="120">
        <f t="shared" si="57"/>
        <v>7539</v>
      </c>
      <c r="L78" s="143">
        <f t="shared" si="58"/>
        <v>6950</v>
      </c>
      <c r="M78" s="143">
        <f t="shared" si="58"/>
        <v>6474</v>
      </c>
      <c r="N78" s="143">
        <f t="shared" si="58"/>
        <v>6031</v>
      </c>
      <c r="HL78" s="109"/>
      <c r="HM78" s="109"/>
      <c r="HN78" s="109"/>
      <c r="HO78" s="109"/>
      <c r="HP78" s="109"/>
      <c r="HQ78" s="109"/>
      <c r="HR78" s="109"/>
      <c r="HS78" s="109"/>
      <c r="HT78" s="109"/>
      <c r="HU78" s="109"/>
      <c r="HV78" s="109"/>
      <c r="HW78" s="109"/>
    </row>
    <row r="79" spans="1:231" s="99" customFormat="1" ht="16.5" customHeight="1">
      <c r="A79" s="130">
        <v>609006</v>
      </c>
      <c r="B79" s="120" t="s">
        <v>86</v>
      </c>
      <c r="C79" s="120">
        <v>2905</v>
      </c>
      <c r="D79" s="120">
        <v>3226</v>
      </c>
      <c r="E79" s="120">
        <v>2989</v>
      </c>
      <c r="F79" s="131">
        <f t="shared" si="55"/>
        <v>0.014354801167028697</v>
      </c>
      <c r="G79" s="120">
        <v>1249</v>
      </c>
      <c r="H79" s="132">
        <v>0.8</v>
      </c>
      <c r="I79" s="120">
        <f t="shared" si="56"/>
        <v>3075</v>
      </c>
      <c r="J79" s="120">
        <f t="shared" si="57"/>
        <v>3119</v>
      </c>
      <c r="K79" s="120">
        <f t="shared" si="57"/>
        <v>3164</v>
      </c>
      <c r="L79" s="143">
        <f t="shared" si="58"/>
        <v>2460</v>
      </c>
      <c r="M79" s="143">
        <f t="shared" si="58"/>
        <v>2495</v>
      </c>
      <c r="N79" s="143">
        <f t="shared" si="58"/>
        <v>2531</v>
      </c>
      <c r="HL79" s="109"/>
      <c r="HM79" s="109"/>
      <c r="HN79" s="109"/>
      <c r="HO79" s="109"/>
      <c r="HP79" s="109"/>
      <c r="HQ79" s="109"/>
      <c r="HR79" s="109"/>
      <c r="HS79" s="109"/>
      <c r="HT79" s="109"/>
      <c r="HU79" s="109"/>
      <c r="HV79" s="109"/>
      <c r="HW79" s="109"/>
    </row>
    <row r="80" spans="1:14" s="106" customFormat="1" ht="16.5" customHeight="1">
      <c r="A80" s="115">
        <v>610</v>
      </c>
      <c r="B80" s="116" t="s">
        <v>87</v>
      </c>
      <c r="C80" s="116">
        <f aca="true" t="shared" si="59" ref="C80:G80">SUM(C81:C85)</f>
        <v>45944</v>
      </c>
      <c r="D80" s="116">
        <f t="shared" si="59"/>
        <v>42702</v>
      </c>
      <c r="E80" s="116">
        <f t="shared" si="59"/>
        <v>40270</v>
      </c>
      <c r="F80" s="116"/>
      <c r="G80" s="116">
        <f t="shared" si="59"/>
        <v>10937</v>
      </c>
      <c r="H80" s="122"/>
      <c r="I80" s="116">
        <f aca="true" t="shared" si="60" ref="I80:N80">SUM(I81:I85)</f>
        <v>35905</v>
      </c>
      <c r="J80" s="116">
        <f t="shared" si="60"/>
        <v>34111</v>
      </c>
      <c r="K80" s="116">
        <f t="shared" si="60"/>
        <v>32532</v>
      </c>
      <c r="L80" s="145">
        <f t="shared" si="60"/>
        <v>28724</v>
      </c>
      <c r="M80" s="145">
        <f t="shared" si="60"/>
        <v>27288</v>
      </c>
      <c r="N80" s="145">
        <f t="shared" si="60"/>
        <v>26025</v>
      </c>
    </row>
    <row r="81" spans="1:14" s="99" customFormat="1" ht="16.5" customHeight="1">
      <c r="A81" s="130">
        <v>610001</v>
      </c>
      <c r="B81" s="120" t="s">
        <v>88</v>
      </c>
      <c r="C81" s="120">
        <v>1142</v>
      </c>
      <c r="D81" s="120">
        <v>888</v>
      </c>
      <c r="E81" s="120">
        <v>768</v>
      </c>
      <c r="F81" s="131">
        <f aca="true" t="shared" si="61" ref="F81:F85">(E81/C81)^(1/2)-1</f>
        <v>-0.17993635717481493</v>
      </c>
      <c r="G81" s="120">
        <v>0</v>
      </c>
      <c r="H81" s="132">
        <v>0.8</v>
      </c>
      <c r="I81" s="120">
        <f aca="true" t="shared" si="62" ref="I81:I85">ROUND(E81*(1+$F81)^2,0)</f>
        <v>516</v>
      </c>
      <c r="J81" s="120">
        <f>ROUND(I81*(1+$F81),0)</f>
        <v>423</v>
      </c>
      <c r="K81" s="120">
        <f>ROUND(J81*(1+$F81),0)</f>
        <v>347</v>
      </c>
      <c r="L81" s="143">
        <f aca="true" t="shared" si="63" ref="L81:N85">ROUND(I81*$H81,0)</f>
        <v>413</v>
      </c>
      <c r="M81" s="143">
        <f t="shared" si="63"/>
        <v>338</v>
      </c>
      <c r="N81" s="143">
        <f t="shared" si="63"/>
        <v>278</v>
      </c>
    </row>
    <row r="82" spans="1:231" s="99" customFormat="1" ht="16.5" customHeight="1">
      <c r="A82" s="130">
        <v>610002</v>
      </c>
      <c r="B82" s="120" t="s">
        <v>89</v>
      </c>
      <c r="C82" s="120">
        <v>8395</v>
      </c>
      <c r="D82" s="120">
        <v>7320</v>
      </c>
      <c r="E82" s="120">
        <v>6611</v>
      </c>
      <c r="F82" s="131">
        <f t="shared" si="61"/>
        <v>-0.11259222727524132</v>
      </c>
      <c r="G82" s="120">
        <v>4876</v>
      </c>
      <c r="H82" s="132">
        <v>0.8</v>
      </c>
      <c r="I82" s="120">
        <f t="shared" si="62"/>
        <v>5206</v>
      </c>
      <c r="J82" s="120">
        <f>ROUND(I82*(1+$F82),0)</f>
        <v>4620</v>
      </c>
      <c r="K82" s="120">
        <f>ROUND(J82*(1+$F82),0)</f>
        <v>4100</v>
      </c>
      <c r="L82" s="143">
        <f aca="true" t="shared" si="64" ref="L82:N82">ROUND(I82*$H82,0)</f>
        <v>4165</v>
      </c>
      <c r="M82" s="143">
        <f t="shared" si="64"/>
        <v>3696</v>
      </c>
      <c r="N82" s="143">
        <f t="shared" si="64"/>
        <v>3280</v>
      </c>
      <c r="HL82" s="109"/>
      <c r="HM82" s="109"/>
      <c r="HN82" s="109"/>
      <c r="HO82" s="109"/>
      <c r="HP82" s="109"/>
      <c r="HQ82" s="109"/>
      <c r="HR82" s="109"/>
      <c r="HS82" s="109"/>
      <c r="HT82" s="109"/>
      <c r="HU82" s="109"/>
      <c r="HV82" s="109"/>
      <c r="HW82" s="109"/>
    </row>
    <row r="83" spans="1:231" s="99" customFormat="1" ht="16.5" customHeight="1">
      <c r="A83" s="130">
        <v>610003</v>
      </c>
      <c r="B83" s="120" t="s">
        <v>90</v>
      </c>
      <c r="C83" s="120">
        <v>19956</v>
      </c>
      <c r="D83" s="120">
        <v>20494</v>
      </c>
      <c r="E83" s="120">
        <v>19834</v>
      </c>
      <c r="F83" s="131">
        <f t="shared" si="61"/>
        <v>-0.0030614109129368794</v>
      </c>
      <c r="G83" s="120">
        <v>1832</v>
      </c>
      <c r="H83" s="132">
        <v>0.8</v>
      </c>
      <c r="I83" s="120">
        <f t="shared" si="62"/>
        <v>19713</v>
      </c>
      <c r="J83" s="120">
        <f aca="true" t="shared" si="65" ref="J83:K85">ROUND(I83*(1+$F83),0)</f>
        <v>19653</v>
      </c>
      <c r="K83" s="120">
        <f t="shared" si="65"/>
        <v>19593</v>
      </c>
      <c r="L83" s="143">
        <f t="shared" si="63"/>
        <v>15770</v>
      </c>
      <c r="M83" s="143">
        <f t="shared" si="63"/>
        <v>15722</v>
      </c>
      <c r="N83" s="143">
        <f t="shared" si="63"/>
        <v>15674</v>
      </c>
      <c r="HL83" s="109"/>
      <c r="HM83" s="109"/>
      <c r="HN83" s="109"/>
      <c r="HO83" s="109"/>
      <c r="HP83" s="109"/>
      <c r="HQ83" s="109"/>
      <c r="HR83" s="109"/>
      <c r="HS83" s="109"/>
      <c r="HT83" s="109"/>
      <c r="HU83" s="109"/>
      <c r="HV83" s="109"/>
      <c r="HW83" s="109"/>
    </row>
    <row r="84" spans="1:231" s="99" customFormat="1" ht="16.5" customHeight="1">
      <c r="A84" s="130">
        <v>610004</v>
      </c>
      <c r="B84" s="120" t="s">
        <v>91</v>
      </c>
      <c r="C84" s="120">
        <v>13066</v>
      </c>
      <c r="D84" s="120">
        <v>10348</v>
      </c>
      <c r="E84" s="120">
        <v>9835</v>
      </c>
      <c r="F84" s="131">
        <f t="shared" si="61"/>
        <v>-0.1324073678529274</v>
      </c>
      <c r="G84" s="120">
        <v>1450</v>
      </c>
      <c r="H84" s="132">
        <v>0.8</v>
      </c>
      <c r="I84" s="120">
        <f t="shared" si="62"/>
        <v>7403</v>
      </c>
      <c r="J84" s="120">
        <f t="shared" si="65"/>
        <v>6423</v>
      </c>
      <c r="K84" s="120">
        <f t="shared" si="65"/>
        <v>5573</v>
      </c>
      <c r="L84" s="143">
        <f t="shared" si="63"/>
        <v>5922</v>
      </c>
      <c r="M84" s="143">
        <f t="shared" si="63"/>
        <v>5138</v>
      </c>
      <c r="N84" s="143">
        <f t="shared" si="63"/>
        <v>4458</v>
      </c>
      <c r="HL84" s="109"/>
      <c r="HM84" s="109"/>
      <c r="HN84" s="109"/>
      <c r="HO84" s="109"/>
      <c r="HP84" s="109"/>
      <c r="HQ84" s="109"/>
      <c r="HR84" s="109"/>
      <c r="HS84" s="109"/>
      <c r="HT84" s="109"/>
      <c r="HU84" s="109"/>
      <c r="HV84" s="109"/>
      <c r="HW84" s="109"/>
    </row>
    <row r="85" spans="1:231" s="99" customFormat="1" ht="16.5" customHeight="1">
      <c r="A85" s="130">
        <v>610005</v>
      </c>
      <c r="B85" s="120" t="s">
        <v>92</v>
      </c>
      <c r="C85" s="120">
        <v>3385</v>
      </c>
      <c r="D85" s="120">
        <v>3652</v>
      </c>
      <c r="E85" s="120">
        <v>3222</v>
      </c>
      <c r="F85" s="131">
        <f t="shared" si="61"/>
        <v>-0.024373851778737077</v>
      </c>
      <c r="G85" s="120">
        <v>2779</v>
      </c>
      <c r="H85" s="132">
        <v>0.8</v>
      </c>
      <c r="I85" s="120">
        <f t="shared" si="62"/>
        <v>3067</v>
      </c>
      <c r="J85" s="120">
        <f t="shared" si="65"/>
        <v>2992</v>
      </c>
      <c r="K85" s="120">
        <f t="shared" si="65"/>
        <v>2919</v>
      </c>
      <c r="L85" s="143">
        <f t="shared" si="63"/>
        <v>2454</v>
      </c>
      <c r="M85" s="143">
        <f t="shared" si="63"/>
        <v>2394</v>
      </c>
      <c r="N85" s="143">
        <f t="shared" si="63"/>
        <v>2335</v>
      </c>
      <c r="HL85" s="109"/>
      <c r="HM85" s="109"/>
      <c r="HN85" s="109"/>
      <c r="HO85" s="109"/>
      <c r="HP85" s="109"/>
      <c r="HQ85" s="109"/>
      <c r="HR85" s="109"/>
      <c r="HS85" s="109"/>
      <c r="HT85" s="109"/>
      <c r="HU85" s="109"/>
      <c r="HV85" s="109"/>
      <c r="HW85" s="109"/>
    </row>
    <row r="86" spans="1:14" s="106" customFormat="1" ht="16.5" customHeight="1">
      <c r="A86" s="115">
        <v>613</v>
      </c>
      <c r="B86" s="116" t="s">
        <v>93</v>
      </c>
      <c r="C86" s="116">
        <f aca="true" t="shared" si="66" ref="C86:G86">SUM(C87:C90)</f>
        <v>24020</v>
      </c>
      <c r="D86" s="116">
        <f t="shared" si="66"/>
        <v>20106</v>
      </c>
      <c r="E86" s="116">
        <f t="shared" si="66"/>
        <v>17449</v>
      </c>
      <c r="F86" s="116"/>
      <c r="G86" s="116">
        <f t="shared" si="66"/>
        <v>14503</v>
      </c>
      <c r="H86" s="122"/>
      <c r="I86" s="116">
        <f aca="true" t="shared" si="67" ref="I86:N86">SUM(I87:I90)</f>
        <v>12715</v>
      </c>
      <c r="J86" s="116">
        <f t="shared" si="67"/>
        <v>10867</v>
      </c>
      <c r="K86" s="116">
        <f t="shared" si="67"/>
        <v>9295</v>
      </c>
      <c r="L86" s="145">
        <f t="shared" si="67"/>
        <v>10171</v>
      </c>
      <c r="M86" s="145">
        <f t="shared" si="67"/>
        <v>8693</v>
      </c>
      <c r="N86" s="145">
        <f t="shared" si="67"/>
        <v>7436</v>
      </c>
    </row>
    <row r="87" spans="1:231" s="99" customFormat="1" ht="16.5" customHeight="1">
      <c r="A87" s="130">
        <v>613001</v>
      </c>
      <c r="B87" s="120" t="s">
        <v>94</v>
      </c>
      <c r="C87" s="120"/>
      <c r="D87" s="120"/>
      <c r="E87" s="120"/>
      <c r="F87" s="131"/>
      <c r="G87" s="120"/>
      <c r="H87" s="122"/>
      <c r="I87" s="120">
        <f>ROUND(C87*(1+$F87),0)</f>
        <v>0</v>
      </c>
      <c r="J87" s="120">
        <f>ROUND(D87*(1+$F87),0)</f>
        <v>0</v>
      </c>
      <c r="K87" s="120">
        <f>ROUND(E87*(1+$F87),0)</f>
        <v>0</v>
      </c>
      <c r="L87" s="143"/>
      <c r="M87" s="143"/>
      <c r="N87" s="143"/>
      <c r="HL87" s="109"/>
      <c r="HM87" s="109"/>
      <c r="HN87" s="109"/>
      <c r="HO87" s="109"/>
      <c r="HP87" s="109"/>
      <c r="HQ87" s="109"/>
      <c r="HR87" s="109"/>
      <c r="HS87" s="109"/>
      <c r="HT87" s="109"/>
      <c r="HU87" s="109"/>
      <c r="HV87" s="109"/>
      <c r="HW87" s="109"/>
    </row>
    <row r="88" spans="1:231" s="99" customFormat="1" ht="16.5" customHeight="1">
      <c r="A88" s="130">
        <v>613005</v>
      </c>
      <c r="B88" s="120" t="s">
        <v>95</v>
      </c>
      <c r="C88" s="120">
        <v>9280</v>
      </c>
      <c r="D88" s="120">
        <v>7669</v>
      </c>
      <c r="E88" s="120">
        <v>6436</v>
      </c>
      <c r="F88" s="131">
        <f aca="true" t="shared" si="68" ref="F88:F90">(E88/C88)^(1/2)-1</f>
        <v>-0.16721282264997572</v>
      </c>
      <c r="G88" s="120">
        <v>4786</v>
      </c>
      <c r="H88" s="132">
        <v>0.8</v>
      </c>
      <c r="I88" s="120">
        <f aca="true" t="shared" si="69" ref="I88:I90">ROUND(E88*(1+$F88)^2,0)</f>
        <v>4464</v>
      </c>
      <c r="J88" s="120">
        <f aca="true" t="shared" si="70" ref="J88:K90">ROUND(I88*(1+$F88),0)</f>
        <v>3718</v>
      </c>
      <c r="K88" s="120">
        <f t="shared" si="70"/>
        <v>3096</v>
      </c>
      <c r="L88" s="143">
        <f aca="true" t="shared" si="71" ref="L88:N90">ROUND(I88*$H88,0)</f>
        <v>3571</v>
      </c>
      <c r="M88" s="143">
        <f t="shared" si="71"/>
        <v>2974</v>
      </c>
      <c r="N88" s="143">
        <f t="shared" si="71"/>
        <v>2477</v>
      </c>
      <c r="HL88" s="109"/>
      <c r="HM88" s="109"/>
      <c r="HN88" s="109"/>
      <c r="HO88" s="109"/>
      <c r="HP88" s="109"/>
      <c r="HQ88" s="109"/>
      <c r="HR88" s="109"/>
      <c r="HS88" s="109"/>
      <c r="HT88" s="109"/>
      <c r="HU88" s="109"/>
      <c r="HV88" s="109"/>
      <c r="HW88" s="109"/>
    </row>
    <row r="89" spans="1:231" s="99" customFormat="1" ht="16.5" customHeight="1">
      <c r="A89" s="130">
        <v>613006</v>
      </c>
      <c r="B89" s="120" t="s">
        <v>96</v>
      </c>
      <c r="C89" s="120">
        <v>8889</v>
      </c>
      <c r="D89" s="120">
        <v>7282</v>
      </c>
      <c r="E89" s="120">
        <v>6358</v>
      </c>
      <c r="F89" s="131">
        <f t="shared" si="68"/>
        <v>-0.15426596428057815</v>
      </c>
      <c r="G89" s="120">
        <v>6618</v>
      </c>
      <c r="H89" s="132">
        <v>0.8</v>
      </c>
      <c r="I89" s="120">
        <f t="shared" si="69"/>
        <v>4548</v>
      </c>
      <c r="J89" s="120">
        <f t="shared" si="70"/>
        <v>3846</v>
      </c>
      <c r="K89" s="120">
        <f t="shared" si="70"/>
        <v>3253</v>
      </c>
      <c r="L89" s="143">
        <f t="shared" si="71"/>
        <v>3638</v>
      </c>
      <c r="M89" s="143">
        <f t="shared" si="71"/>
        <v>3077</v>
      </c>
      <c r="N89" s="143">
        <f t="shared" si="71"/>
        <v>2602</v>
      </c>
      <c r="HL89" s="109"/>
      <c r="HM89" s="109"/>
      <c r="HN89" s="109"/>
      <c r="HO89" s="109"/>
      <c r="HP89" s="109"/>
      <c r="HQ89" s="109"/>
      <c r="HR89" s="109"/>
      <c r="HS89" s="109"/>
      <c r="HT89" s="109"/>
      <c r="HU89" s="109"/>
      <c r="HV89" s="109"/>
      <c r="HW89" s="109"/>
    </row>
    <row r="90" spans="1:231" s="99" customFormat="1" ht="16.5" customHeight="1">
      <c r="A90" s="130">
        <v>613008</v>
      </c>
      <c r="B90" s="120" t="s">
        <v>97</v>
      </c>
      <c r="C90" s="120">
        <v>5851</v>
      </c>
      <c r="D90" s="120">
        <v>5155</v>
      </c>
      <c r="E90" s="120">
        <v>4655</v>
      </c>
      <c r="F90" s="131">
        <f t="shared" si="68"/>
        <v>-0.10804120198807377</v>
      </c>
      <c r="G90" s="120">
        <v>3099</v>
      </c>
      <c r="H90" s="132">
        <v>0.8</v>
      </c>
      <c r="I90" s="120">
        <f t="shared" si="69"/>
        <v>3703</v>
      </c>
      <c r="J90" s="120">
        <f t="shared" si="70"/>
        <v>3303</v>
      </c>
      <c r="K90" s="120">
        <f t="shared" si="70"/>
        <v>2946</v>
      </c>
      <c r="L90" s="143">
        <f t="shared" si="71"/>
        <v>2962</v>
      </c>
      <c r="M90" s="143">
        <f t="shared" si="71"/>
        <v>2642</v>
      </c>
      <c r="N90" s="143">
        <f t="shared" si="71"/>
        <v>2357</v>
      </c>
      <c r="HL90" s="109"/>
      <c r="HM90" s="109"/>
      <c r="HN90" s="109"/>
      <c r="HO90" s="109"/>
      <c r="HP90" s="109"/>
      <c r="HQ90" s="109"/>
      <c r="HR90" s="109"/>
      <c r="HS90" s="109"/>
      <c r="HT90" s="109"/>
      <c r="HU90" s="109"/>
      <c r="HV90" s="109"/>
      <c r="HW90" s="109"/>
    </row>
    <row r="91" spans="1:14" s="106" customFormat="1" ht="16.5" customHeight="1">
      <c r="A91" s="115">
        <v>614</v>
      </c>
      <c r="B91" s="116" t="s">
        <v>98</v>
      </c>
      <c r="C91" s="116">
        <f aca="true" t="shared" si="72" ref="C91:G91">SUM(C92:C96)</f>
        <v>37084</v>
      </c>
      <c r="D91" s="116">
        <f t="shared" si="72"/>
        <v>32450</v>
      </c>
      <c r="E91" s="116">
        <f t="shared" si="72"/>
        <v>30451</v>
      </c>
      <c r="F91" s="116"/>
      <c r="G91" s="116">
        <f t="shared" si="72"/>
        <v>16963</v>
      </c>
      <c r="H91" s="122"/>
      <c r="I91" s="116">
        <f aca="true" t="shared" si="73" ref="I91:N91">SUM(I92:I96)</f>
        <v>25551</v>
      </c>
      <c r="J91" s="116">
        <f t="shared" si="73"/>
        <v>23609</v>
      </c>
      <c r="K91" s="116">
        <f t="shared" si="73"/>
        <v>21947</v>
      </c>
      <c r="L91" s="145">
        <f t="shared" si="73"/>
        <v>20441</v>
      </c>
      <c r="M91" s="145">
        <f t="shared" si="73"/>
        <v>18887</v>
      </c>
      <c r="N91" s="145">
        <f t="shared" si="73"/>
        <v>17557</v>
      </c>
    </row>
    <row r="92" spans="1:14" s="99" customFormat="1" ht="16.5" customHeight="1">
      <c r="A92" s="130">
        <v>614001</v>
      </c>
      <c r="B92" s="120" t="s">
        <v>99</v>
      </c>
      <c r="C92" s="120"/>
      <c r="D92" s="120"/>
      <c r="E92" s="120"/>
      <c r="F92" s="131"/>
      <c r="G92" s="120">
        <v>58</v>
      </c>
      <c r="H92" s="122"/>
      <c r="I92" s="120">
        <f>ROUND(C92*(1+$F92),0)</f>
        <v>0</v>
      </c>
      <c r="J92" s="120">
        <f>ROUND(D92*(1+$F92),0)</f>
        <v>0</v>
      </c>
      <c r="K92" s="120">
        <f>ROUND(E92*(1+$F92),0)</f>
        <v>0</v>
      </c>
      <c r="L92" s="143"/>
      <c r="M92" s="143"/>
      <c r="N92" s="143"/>
    </row>
    <row r="93" spans="1:231" s="99" customFormat="1" ht="16.5" customHeight="1">
      <c r="A93" s="130">
        <v>614002</v>
      </c>
      <c r="B93" s="120" t="s">
        <v>100</v>
      </c>
      <c r="C93" s="120">
        <v>10253</v>
      </c>
      <c r="D93" s="120">
        <v>8097</v>
      </c>
      <c r="E93" s="120">
        <v>8104</v>
      </c>
      <c r="F93" s="131">
        <f aca="true" t="shared" si="74" ref="F93:F96">(E93/C93)^(1/2)-1</f>
        <v>-0.11095398941676227</v>
      </c>
      <c r="G93" s="120">
        <v>5598</v>
      </c>
      <c r="H93" s="132">
        <v>0.8</v>
      </c>
      <c r="I93" s="120">
        <f aca="true" t="shared" si="75" ref="I93:I96">ROUND(E93*(1+$F93)^2,0)</f>
        <v>6405</v>
      </c>
      <c r="J93" s="120">
        <f aca="true" t="shared" si="76" ref="J93:K96">ROUND(I93*(1+$F93),0)</f>
        <v>5694</v>
      </c>
      <c r="K93" s="120">
        <f t="shared" si="76"/>
        <v>5062</v>
      </c>
      <c r="L93" s="143">
        <f aca="true" t="shared" si="77" ref="L93:N94">ROUND(I93*$H93,0)</f>
        <v>5124</v>
      </c>
      <c r="M93" s="143">
        <f t="shared" si="77"/>
        <v>4555</v>
      </c>
      <c r="N93" s="143">
        <f t="shared" si="77"/>
        <v>4050</v>
      </c>
      <c r="HL93" s="109"/>
      <c r="HM93" s="109"/>
      <c r="HN93" s="109"/>
      <c r="HO93" s="109"/>
      <c r="HP93" s="109"/>
      <c r="HQ93" s="109"/>
      <c r="HR93" s="109"/>
      <c r="HS93" s="109"/>
      <c r="HT93" s="109"/>
      <c r="HU93" s="109"/>
      <c r="HV93" s="109"/>
      <c r="HW93" s="109"/>
    </row>
    <row r="94" spans="1:231" s="99" customFormat="1" ht="16.5" customHeight="1">
      <c r="A94" s="130">
        <v>614003</v>
      </c>
      <c r="B94" s="120" t="s">
        <v>101</v>
      </c>
      <c r="C94" s="120">
        <v>14931</v>
      </c>
      <c r="D94" s="120">
        <v>12055</v>
      </c>
      <c r="E94" s="120">
        <v>10699</v>
      </c>
      <c r="F94" s="131">
        <f t="shared" si="74"/>
        <v>-0.15349964217174594</v>
      </c>
      <c r="G94" s="120">
        <v>6425</v>
      </c>
      <c r="H94" s="132">
        <v>0.8</v>
      </c>
      <c r="I94" s="120">
        <f t="shared" si="75"/>
        <v>7667</v>
      </c>
      <c r="J94" s="120">
        <f t="shared" si="76"/>
        <v>6490</v>
      </c>
      <c r="K94" s="120">
        <f t="shared" si="76"/>
        <v>5494</v>
      </c>
      <c r="L94" s="143">
        <f t="shared" si="77"/>
        <v>6134</v>
      </c>
      <c r="M94" s="143">
        <f t="shared" si="77"/>
        <v>5192</v>
      </c>
      <c r="N94" s="143">
        <f t="shared" si="77"/>
        <v>4395</v>
      </c>
      <c r="HL94" s="109"/>
      <c r="HM94" s="109"/>
      <c r="HN94" s="109"/>
      <c r="HO94" s="109"/>
      <c r="HP94" s="109"/>
      <c r="HQ94" s="109"/>
      <c r="HR94" s="109"/>
      <c r="HS94" s="109"/>
      <c r="HT94" s="109"/>
      <c r="HU94" s="109"/>
      <c r="HV94" s="109"/>
      <c r="HW94" s="109"/>
    </row>
    <row r="95" spans="1:231" s="99" customFormat="1" ht="16.5" customHeight="1">
      <c r="A95" s="130">
        <v>614004</v>
      </c>
      <c r="B95" s="120" t="s">
        <v>102</v>
      </c>
      <c r="C95" s="120">
        <v>5006</v>
      </c>
      <c r="D95" s="120">
        <v>5679</v>
      </c>
      <c r="E95" s="120">
        <v>5377</v>
      </c>
      <c r="F95" s="131">
        <f t="shared" si="74"/>
        <v>0.036393297315230555</v>
      </c>
      <c r="G95" s="120">
        <v>2754</v>
      </c>
      <c r="H95" s="132">
        <v>0.8</v>
      </c>
      <c r="I95" s="120">
        <f t="shared" si="75"/>
        <v>5775</v>
      </c>
      <c r="J95" s="120">
        <f t="shared" si="76"/>
        <v>5985</v>
      </c>
      <c r="K95" s="120">
        <f t="shared" si="76"/>
        <v>6203</v>
      </c>
      <c r="L95" s="143">
        <f aca="true" t="shared" si="78" ref="L95:N96">ROUND(I95*$H95,0)</f>
        <v>4620</v>
      </c>
      <c r="M95" s="143">
        <f t="shared" si="78"/>
        <v>4788</v>
      </c>
      <c r="N95" s="143">
        <f t="shared" si="78"/>
        <v>4962</v>
      </c>
      <c r="HL95" s="109"/>
      <c r="HM95" s="109"/>
      <c r="HN95" s="109"/>
      <c r="HO95" s="109"/>
      <c r="HP95" s="109"/>
      <c r="HQ95" s="109"/>
      <c r="HR95" s="109"/>
      <c r="HS95" s="109"/>
      <c r="HT95" s="109"/>
      <c r="HU95" s="109"/>
      <c r="HV95" s="109"/>
      <c r="HW95" s="109"/>
    </row>
    <row r="96" spans="1:231" s="99" customFormat="1" ht="16.5" customHeight="1">
      <c r="A96" s="130">
        <v>614005</v>
      </c>
      <c r="B96" s="120" t="s">
        <v>103</v>
      </c>
      <c r="C96" s="120">
        <v>6894</v>
      </c>
      <c r="D96" s="120">
        <v>6619</v>
      </c>
      <c r="E96" s="120">
        <v>6271</v>
      </c>
      <c r="F96" s="131">
        <f t="shared" si="74"/>
        <v>-0.046253931238214196</v>
      </c>
      <c r="G96" s="120">
        <v>2128</v>
      </c>
      <c r="H96" s="132">
        <v>0.8</v>
      </c>
      <c r="I96" s="120">
        <f t="shared" si="75"/>
        <v>5704</v>
      </c>
      <c r="J96" s="120">
        <f t="shared" si="76"/>
        <v>5440</v>
      </c>
      <c r="K96" s="120">
        <f t="shared" si="76"/>
        <v>5188</v>
      </c>
      <c r="L96" s="143">
        <f t="shared" si="78"/>
        <v>4563</v>
      </c>
      <c r="M96" s="143">
        <f t="shared" si="78"/>
        <v>4352</v>
      </c>
      <c r="N96" s="143">
        <f t="shared" si="78"/>
        <v>4150</v>
      </c>
      <c r="HL96" s="109"/>
      <c r="HM96" s="109"/>
      <c r="HN96" s="109"/>
      <c r="HO96" s="109"/>
      <c r="HP96" s="109"/>
      <c r="HQ96" s="109"/>
      <c r="HR96" s="109"/>
      <c r="HS96" s="109"/>
      <c r="HT96" s="109"/>
      <c r="HU96" s="109"/>
      <c r="HV96" s="109"/>
      <c r="HW96" s="109"/>
    </row>
    <row r="97" spans="1:217" s="106" customFormat="1" ht="16.5" customHeight="1">
      <c r="A97" s="115">
        <v>615</v>
      </c>
      <c r="B97" s="116" t="s">
        <v>104</v>
      </c>
      <c r="C97" s="116">
        <f>SUM(C98:C107)</f>
        <v>136020</v>
      </c>
      <c r="D97" s="116">
        <f aca="true" t="shared" si="79" ref="D97:N97">SUM(D98:D107)</f>
        <v>120548</v>
      </c>
      <c r="E97" s="116">
        <f t="shared" si="79"/>
        <v>116196</v>
      </c>
      <c r="F97" s="116"/>
      <c r="G97" s="116"/>
      <c r="H97" s="116"/>
      <c r="I97" s="116">
        <f t="shared" si="79"/>
        <v>99701</v>
      </c>
      <c r="J97" s="116">
        <f t="shared" si="79"/>
        <v>92513</v>
      </c>
      <c r="K97" s="116">
        <f t="shared" si="79"/>
        <v>85945</v>
      </c>
      <c r="L97" s="116">
        <f t="shared" si="79"/>
        <v>79761</v>
      </c>
      <c r="M97" s="116">
        <f t="shared" si="79"/>
        <v>74010</v>
      </c>
      <c r="N97" s="116">
        <f t="shared" si="79"/>
        <v>68754</v>
      </c>
      <c r="HI97" s="106">
        <f>SUM(B97:HH97)</f>
        <v>873448</v>
      </c>
    </row>
    <row r="98" spans="1:14" s="99" customFormat="1" ht="16.5" customHeight="1">
      <c r="A98" s="130">
        <v>615001</v>
      </c>
      <c r="B98" s="120" t="s">
        <v>105</v>
      </c>
      <c r="C98" s="120">
        <v>4713</v>
      </c>
      <c r="D98" s="120">
        <v>4891</v>
      </c>
      <c r="E98" s="120">
        <v>4877</v>
      </c>
      <c r="F98" s="131">
        <f aca="true" t="shared" si="80" ref="F98:F107">(E98/C98)^(1/2)-1</f>
        <v>0.01724990488051592</v>
      </c>
      <c r="G98" s="120">
        <v>0</v>
      </c>
      <c r="H98" s="132">
        <v>0.8</v>
      </c>
      <c r="I98" s="120">
        <f aca="true" t="shared" si="81" ref="I98:I107">ROUND(E98*(1+$F98)^2,0)</f>
        <v>5047</v>
      </c>
      <c r="J98" s="120">
        <f aca="true" t="shared" si="82" ref="J98:K102">ROUND(I98*(1+$F98),0)</f>
        <v>5134</v>
      </c>
      <c r="K98" s="120">
        <f t="shared" si="82"/>
        <v>5223</v>
      </c>
      <c r="L98" s="143">
        <f aca="true" t="shared" si="83" ref="L98:N102">ROUND(I98*$H98,0)</f>
        <v>4038</v>
      </c>
      <c r="M98" s="143">
        <f t="shared" si="83"/>
        <v>4107</v>
      </c>
      <c r="N98" s="143">
        <f t="shared" si="83"/>
        <v>4178</v>
      </c>
    </row>
    <row r="99" spans="1:231" s="99" customFormat="1" ht="16.5" customHeight="1">
      <c r="A99" s="130">
        <v>615002</v>
      </c>
      <c r="B99" s="120" t="s">
        <v>106</v>
      </c>
      <c r="C99" s="120">
        <v>11572</v>
      </c>
      <c r="D99" s="120">
        <v>9689</v>
      </c>
      <c r="E99" s="120">
        <v>9754</v>
      </c>
      <c r="F99" s="131">
        <f t="shared" si="80"/>
        <v>-0.08190597045882242</v>
      </c>
      <c r="G99" s="120">
        <v>5665</v>
      </c>
      <c r="H99" s="132">
        <v>0.8</v>
      </c>
      <c r="I99" s="120">
        <f t="shared" si="81"/>
        <v>8222</v>
      </c>
      <c r="J99" s="120">
        <f t="shared" si="82"/>
        <v>7549</v>
      </c>
      <c r="K99" s="120">
        <f t="shared" si="82"/>
        <v>6931</v>
      </c>
      <c r="L99" s="143">
        <f t="shared" si="83"/>
        <v>6578</v>
      </c>
      <c r="M99" s="143">
        <f t="shared" si="83"/>
        <v>6039</v>
      </c>
      <c r="N99" s="143">
        <f t="shared" si="83"/>
        <v>5545</v>
      </c>
      <c r="HL99" s="109"/>
      <c r="HM99" s="109"/>
      <c r="HN99" s="109"/>
      <c r="HO99" s="109"/>
      <c r="HP99" s="109"/>
      <c r="HQ99" s="109"/>
      <c r="HR99" s="109"/>
      <c r="HS99" s="109"/>
      <c r="HT99" s="109"/>
      <c r="HU99" s="109"/>
      <c r="HV99" s="109"/>
      <c r="HW99" s="109"/>
    </row>
    <row r="100" spans="1:231" s="99" customFormat="1" ht="16.5" customHeight="1">
      <c r="A100" s="130">
        <v>615003</v>
      </c>
      <c r="B100" s="120" t="s">
        <v>107</v>
      </c>
      <c r="C100" s="120">
        <v>16671</v>
      </c>
      <c r="D100" s="120">
        <v>14864</v>
      </c>
      <c r="E100" s="120">
        <v>15641</v>
      </c>
      <c r="F100" s="131">
        <f t="shared" si="80"/>
        <v>-0.03138446026124175</v>
      </c>
      <c r="G100" s="120">
        <v>10634</v>
      </c>
      <c r="H100" s="132">
        <v>0.8</v>
      </c>
      <c r="I100" s="120">
        <f t="shared" si="81"/>
        <v>14675</v>
      </c>
      <c r="J100" s="120">
        <f t="shared" si="82"/>
        <v>14214</v>
      </c>
      <c r="K100" s="120">
        <f t="shared" si="82"/>
        <v>13768</v>
      </c>
      <c r="L100" s="143">
        <f t="shared" si="83"/>
        <v>11740</v>
      </c>
      <c r="M100" s="143">
        <f t="shared" si="83"/>
        <v>11371</v>
      </c>
      <c r="N100" s="143">
        <f t="shared" si="83"/>
        <v>11014</v>
      </c>
      <c r="HL100" s="109"/>
      <c r="HM100" s="109"/>
      <c r="HN100" s="109"/>
      <c r="HO100" s="109"/>
      <c r="HP100" s="109"/>
      <c r="HQ100" s="109"/>
      <c r="HR100" s="109"/>
      <c r="HS100" s="109"/>
      <c r="HT100" s="109"/>
      <c r="HU100" s="109"/>
      <c r="HV100" s="109"/>
      <c r="HW100" s="109"/>
    </row>
    <row r="101" spans="1:231" s="99" customFormat="1" ht="16.5" customHeight="1">
      <c r="A101" s="130">
        <v>615004</v>
      </c>
      <c r="B101" s="120" t="s">
        <v>108</v>
      </c>
      <c r="C101" s="120">
        <v>700</v>
      </c>
      <c r="D101" s="120">
        <v>574</v>
      </c>
      <c r="E101" s="120">
        <v>457</v>
      </c>
      <c r="F101" s="131">
        <f t="shared" si="80"/>
        <v>-0.19200424329261312</v>
      </c>
      <c r="G101" s="120">
        <v>44</v>
      </c>
      <c r="H101" s="132">
        <v>0.8</v>
      </c>
      <c r="I101" s="120">
        <f t="shared" si="81"/>
        <v>298</v>
      </c>
      <c r="J101" s="120">
        <f t="shared" si="82"/>
        <v>241</v>
      </c>
      <c r="K101" s="120">
        <f t="shared" si="82"/>
        <v>195</v>
      </c>
      <c r="L101" s="143">
        <f t="shared" si="83"/>
        <v>238</v>
      </c>
      <c r="M101" s="143">
        <f t="shared" si="83"/>
        <v>193</v>
      </c>
      <c r="N101" s="143">
        <f t="shared" si="83"/>
        <v>156</v>
      </c>
      <c r="HL101" s="109"/>
      <c r="HM101" s="109"/>
      <c r="HN101" s="109"/>
      <c r="HO101" s="109"/>
      <c r="HP101" s="109"/>
      <c r="HQ101" s="109"/>
      <c r="HR101" s="109"/>
      <c r="HS101" s="109"/>
      <c r="HT101" s="109"/>
      <c r="HU101" s="109"/>
      <c r="HV101" s="109"/>
      <c r="HW101" s="109"/>
    </row>
    <row r="102" spans="1:231" s="99" customFormat="1" ht="16.5" customHeight="1">
      <c r="A102" s="130">
        <v>615005</v>
      </c>
      <c r="B102" s="120" t="s">
        <v>109</v>
      </c>
      <c r="C102" s="120">
        <v>5227</v>
      </c>
      <c r="D102" s="120">
        <v>4354</v>
      </c>
      <c r="E102" s="120">
        <v>4018</v>
      </c>
      <c r="F102" s="131">
        <f t="shared" si="80"/>
        <v>-0.12324406149540101</v>
      </c>
      <c r="G102" s="120">
        <v>1802</v>
      </c>
      <c r="H102" s="132">
        <v>0.8</v>
      </c>
      <c r="I102" s="120">
        <f t="shared" si="81"/>
        <v>3089</v>
      </c>
      <c r="J102" s="120">
        <f t="shared" si="82"/>
        <v>2708</v>
      </c>
      <c r="K102" s="120">
        <f t="shared" si="82"/>
        <v>2374</v>
      </c>
      <c r="L102" s="143">
        <f t="shared" si="83"/>
        <v>2471</v>
      </c>
      <c r="M102" s="143">
        <f t="shared" si="83"/>
        <v>2166</v>
      </c>
      <c r="N102" s="143">
        <f t="shared" si="83"/>
        <v>1899</v>
      </c>
      <c r="HL102" s="109"/>
      <c r="HM102" s="109"/>
      <c r="HN102" s="109"/>
      <c r="HO102" s="109"/>
      <c r="HP102" s="109"/>
      <c r="HQ102" s="109"/>
      <c r="HR102" s="109"/>
      <c r="HS102" s="109"/>
      <c r="HT102" s="109"/>
      <c r="HU102" s="109"/>
      <c r="HV102" s="109"/>
      <c r="HW102" s="109"/>
    </row>
    <row r="103" spans="1:231" s="99" customFormat="1" ht="16.5" customHeight="1">
      <c r="A103" s="130">
        <v>615006</v>
      </c>
      <c r="B103" s="120" t="s">
        <v>110</v>
      </c>
      <c r="C103" s="120">
        <v>27494</v>
      </c>
      <c r="D103" s="120">
        <v>24646</v>
      </c>
      <c r="E103" s="120">
        <v>23587</v>
      </c>
      <c r="F103" s="131">
        <f t="shared" si="80"/>
        <v>-0.0737731010833712</v>
      </c>
      <c r="G103" s="120">
        <v>5331</v>
      </c>
      <c r="H103" s="132">
        <v>0.8</v>
      </c>
      <c r="I103" s="120">
        <f t="shared" si="81"/>
        <v>20235</v>
      </c>
      <c r="J103" s="120">
        <f>ROUND(I103*(1+$F103),0)</f>
        <v>18742</v>
      </c>
      <c r="K103" s="120">
        <f>ROUND(J103*(1+$F103),0)</f>
        <v>17359</v>
      </c>
      <c r="L103" s="143">
        <f aca="true" t="shared" si="84" ref="L103:N105">ROUND(I103*$H103,0)</f>
        <v>16188</v>
      </c>
      <c r="M103" s="143">
        <f t="shared" si="84"/>
        <v>14994</v>
      </c>
      <c r="N103" s="143">
        <f t="shared" si="84"/>
        <v>13887</v>
      </c>
      <c r="HL103" s="109"/>
      <c r="HM103" s="109"/>
      <c r="HN103" s="109"/>
      <c r="HO103" s="109"/>
      <c r="HP103" s="109"/>
      <c r="HQ103" s="109"/>
      <c r="HR103" s="109"/>
      <c r="HS103" s="109"/>
      <c r="HT103" s="109"/>
      <c r="HU103" s="109"/>
      <c r="HV103" s="109"/>
      <c r="HW103" s="109"/>
    </row>
    <row r="104" spans="1:231" s="99" customFormat="1" ht="16.5" customHeight="1">
      <c r="A104" s="130">
        <v>615007</v>
      </c>
      <c r="B104" s="120" t="s">
        <v>111</v>
      </c>
      <c r="C104" s="120">
        <v>25660</v>
      </c>
      <c r="D104" s="120">
        <v>22026</v>
      </c>
      <c r="E104" s="120">
        <v>20691</v>
      </c>
      <c r="F104" s="131">
        <f t="shared" si="80"/>
        <v>-0.10202878704352714</v>
      </c>
      <c r="G104" s="120">
        <v>8138</v>
      </c>
      <c r="H104" s="132">
        <v>0.8</v>
      </c>
      <c r="I104" s="120">
        <f t="shared" si="81"/>
        <v>16684</v>
      </c>
      <c r="J104" s="120">
        <f>ROUND(I104*(1+$F104),0)</f>
        <v>14982</v>
      </c>
      <c r="K104" s="120">
        <f>ROUND(J104*(1+$F104),0)</f>
        <v>13453</v>
      </c>
      <c r="L104" s="143">
        <f t="shared" si="84"/>
        <v>13347</v>
      </c>
      <c r="M104" s="143">
        <f t="shared" si="84"/>
        <v>11986</v>
      </c>
      <c r="N104" s="143">
        <f t="shared" si="84"/>
        <v>10762</v>
      </c>
      <c r="HL104" s="109"/>
      <c r="HM104" s="109"/>
      <c r="HN104" s="109"/>
      <c r="HO104" s="109"/>
      <c r="HP104" s="109"/>
      <c r="HQ104" s="109"/>
      <c r="HR104" s="109"/>
      <c r="HS104" s="109"/>
      <c r="HT104" s="109"/>
      <c r="HU104" s="109"/>
      <c r="HV104" s="109"/>
      <c r="HW104" s="109"/>
    </row>
    <row r="105" spans="1:231" s="99" customFormat="1" ht="16.5" customHeight="1">
      <c r="A105" s="130">
        <v>615008</v>
      </c>
      <c r="B105" s="120" t="s">
        <v>112</v>
      </c>
      <c r="C105" s="120">
        <v>17490</v>
      </c>
      <c r="D105" s="120">
        <v>16000</v>
      </c>
      <c r="E105" s="120">
        <v>15197</v>
      </c>
      <c r="F105" s="131">
        <f t="shared" si="80"/>
        <v>-0.06785381388285527</v>
      </c>
      <c r="G105" s="120">
        <v>8151</v>
      </c>
      <c r="H105" s="132">
        <v>0.8</v>
      </c>
      <c r="I105" s="120">
        <f t="shared" si="81"/>
        <v>13205</v>
      </c>
      <c r="J105" s="120">
        <f>ROUND(I105*(1+$F105),0)</f>
        <v>12309</v>
      </c>
      <c r="K105" s="120">
        <f>ROUND(J105*(1+$F105),0)</f>
        <v>11474</v>
      </c>
      <c r="L105" s="143">
        <f aca="true" t="shared" si="85" ref="L105:N106">ROUND(I105*$H105,0)</f>
        <v>10564</v>
      </c>
      <c r="M105" s="143">
        <f t="shared" si="85"/>
        <v>9847</v>
      </c>
      <c r="N105" s="143">
        <f t="shared" si="85"/>
        <v>9179</v>
      </c>
      <c r="HL105" s="109"/>
      <c r="HM105" s="109"/>
      <c r="HN105" s="109"/>
      <c r="HO105" s="109"/>
      <c r="HP105" s="109"/>
      <c r="HQ105" s="109"/>
      <c r="HR105" s="109"/>
      <c r="HS105" s="109"/>
      <c r="HT105" s="109"/>
      <c r="HU105" s="109"/>
      <c r="HV105" s="109"/>
      <c r="HW105" s="109"/>
    </row>
    <row r="106" spans="1:231" s="99" customFormat="1" ht="16.5" customHeight="1">
      <c r="A106" s="130">
        <v>615009</v>
      </c>
      <c r="B106" s="120" t="s">
        <v>113</v>
      </c>
      <c r="C106" s="120">
        <v>13804</v>
      </c>
      <c r="D106" s="120">
        <v>11846</v>
      </c>
      <c r="E106" s="120">
        <v>11078</v>
      </c>
      <c r="F106" s="131">
        <f t="shared" si="80"/>
        <v>-0.1041646309709795</v>
      </c>
      <c r="G106" s="120">
        <v>4114</v>
      </c>
      <c r="H106" s="132">
        <v>0.8</v>
      </c>
      <c r="I106" s="120">
        <f t="shared" si="81"/>
        <v>8890</v>
      </c>
      <c r="J106" s="120">
        <f>ROUND(I106*(1+$F106),0)</f>
        <v>7964</v>
      </c>
      <c r="K106" s="120">
        <f>ROUND(J106*(1+$F106),0)</f>
        <v>7134</v>
      </c>
      <c r="L106" s="143">
        <f t="shared" si="85"/>
        <v>7112</v>
      </c>
      <c r="M106" s="143">
        <f t="shared" si="85"/>
        <v>6371</v>
      </c>
      <c r="N106" s="143">
        <f t="shared" si="85"/>
        <v>5707</v>
      </c>
      <c r="HL106" s="109"/>
      <c r="HM106" s="109"/>
      <c r="HN106" s="109"/>
      <c r="HO106" s="109"/>
      <c r="HP106" s="109"/>
      <c r="HQ106" s="109"/>
      <c r="HR106" s="109"/>
      <c r="HS106" s="109"/>
      <c r="HT106" s="109"/>
      <c r="HU106" s="109"/>
      <c r="HV106" s="109"/>
      <c r="HW106" s="109"/>
    </row>
    <row r="107" spans="1:231" s="99" customFormat="1" ht="16.5" customHeight="1">
      <c r="A107" s="130">
        <v>615010</v>
      </c>
      <c r="B107" s="120" t="s">
        <v>114</v>
      </c>
      <c r="C107" s="120">
        <v>12689</v>
      </c>
      <c r="D107" s="120">
        <v>11658</v>
      </c>
      <c r="E107" s="120">
        <v>10896</v>
      </c>
      <c r="F107" s="131">
        <f t="shared" si="80"/>
        <v>-0.07334121231861268</v>
      </c>
      <c r="G107" s="120">
        <v>3277</v>
      </c>
      <c r="H107" s="132">
        <v>0.8</v>
      </c>
      <c r="I107" s="120">
        <f t="shared" si="81"/>
        <v>9356</v>
      </c>
      <c r="J107" s="120">
        <f>ROUND(I107*(1+$F107),0)</f>
        <v>8670</v>
      </c>
      <c r="K107" s="120">
        <f>ROUND(J107*(1+$F107),0)</f>
        <v>8034</v>
      </c>
      <c r="L107" s="143">
        <f>ROUND(I107*$H107,0)</f>
        <v>7485</v>
      </c>
      <c r="M107" s="143">
        <f>ROUND(J107*$H107,0)</f>
        <v>6936</v>
      </c>
      <c r="N107" s="143">
        <f>ROUND(K107*$H107,0)</f>
        <v>6427</v>
      </c>
      <c r="HL107" s="109"/>
      <c r="HM107" s="109"/>
      <c r="HN107" s="109"/>
      <c r="HO107" s="109"/>
      <c r="HP107" s="109"/>
      <c r="HQ107" s="109"/>
      <c r="HR107" s="109"/>
      <c r="HS107" s="109"/>
      <c r="HT107" s="109"/>
      <c r="HU107" s="109"/>
      <c r="HV107" s="109"/>
      <c r="HW107" s="109"/>
    </row>
    <row r="108" spans="1:14" s="106" customFormat="1" ht="16.5" customHeight="1">
      <c r="A108" s="115">
        <v>616</v>
      </c>
      <c r="B108" s="116" t="s">
        <v>115</v>
      </c>
      <c r="C108" s="116">
        <f aca="true" t="shared" si="86" ref="C108:G108">SUM(C109:C114)</f>
        <v>113085</v>
      </c>
      <c r="D108" s="116">
        <f t="shared" si="86"/>
        <v>99480</v>
      </c>
      <c r="E108" s="116">
        <f t="shared" si="86"/>
        <v>91148</v>
      </c>
      <c r="F108" s="116"/>
      <c r="G108" s="116">
        <f t="shared" si="86"/>
        <v>52119</v>
      </c>
      <c r="H108" s="122"/>
      <c r="I108" s="116">
        <f aca="true" t="shared" si="87" ref="I108:N108">SUM(I109:I114)</f>
        <v>74146</v>
      </c>
      <c r="J108" s="116">
        <f t="shared" si="87"/>
        <v>67104</v>
      </c>
      <c r="K108" s="116">
        <f t="shared" si="87"/>
        <v>60867</v>
      </c>
      <c r="L108" s="145">
        <f t="shared" si="87"/>
        <v>59317</v>
      </c>
      <c r="M108" s="145">
        <f t="shared" si="87"/>
        <v>53684</v>
      </c>
      <c r="N108" s="145">
        <f t="shared" si="87"/>
        <v>48693</v>
      </c>
    </row>
    <row r="109" spans="1:14" s="99" customFormat="1" ht="16.5" customHeight="1">
      <c r="A109" s="130">
        <v>616001</v>
      </c>
      <c r="B109" s="120" t="s">
        <v>116</v>
      </c>
      <c r="C109" s="120"/>
      <c r="D109" s="120"/>
      <c r="E109" s="120"/>
      <c r="F109" s="131"/>
      <c r="G109" s="120"/>
      <c r="H109" s="122"/>
      <c r="I109" s="120">
        <f>ROUND(C109*(1+$F109),0)</f>
        <v>0</v>
      </c>
      <c r="J109" s="120">
        <f>ROUND(D109*(1+$F109),0)</f>
        <v>0</v>
      </c>
      <c r="K109" s="120">
        <f>ROUND(E109*(1+$F109),0)</f>
        <v>0</v>
      </c>
      <c r="L109" s="143">
        <f aca="true" t="shared" si="88" ref="L109:N111">ROUND(I109*$H109,0)</f>
        <v>0</v>
      </c>
      <c r="M109" s="143">
        <f t="shared" si="88"/>
        <v>0</v>
      </c>
      <c r="N109" s="143">
        <f t="shared" si="88"/>
        <v>0</v>
      </c>
    </row>
    <row r="110" spans="1:231" s="99" customFormat="1" ht="16.5" customHeight="1">
      <c r="A110" s="130">
        <v>616002</v>
      </c>
      <c r="B110" s="120" t="s">
        <v>117</v>
      </c>
      <c r="C110" s="120">
        <v>22766</v>
      </c>
      <c r="D110" s="120">
        <v>21519</v>
      </c>
      <c r="E110" s="120">
        <v>20729</v>
      </c>
      <c r="F110" s="131">
        <f aca="true" t="shared" si="89" ref="F110:F114">(E110/C110)^(1/2)-1</f>
        <v>-0.0457859431399007</v>
      </c>
      <c r="G110" s="120">
        <v>12758</v>
      </c>
      <c r="H110" s="132">
        <v>0.8</v>
      </c>
      <c r="I110" s="120">
        <f aca="true" t="shared" si="90" ref="I110:I114">ROUND(E110*(1+$F110)^2,0)</f>
        <v>18874</v>
      </c>
      <c r="J110" s="120">
        <f aca="true" t="shared" si="91" ref="J110:K114">ROUND(I110*(1+$F110),0)</f>
        <v>18010</v>
      </c>
      <c r="K110" s="120">
        <f t="shared" si="91"/>
        <v>17185</v>
      </c>
      <c r="L110" s="143">
        <f t="shared" si="88"/>
        <v>15099</v>
      </c>
      <c r="M110" s="143">
        <f t="shared" si="88"/>
        <v>14408</v>
      </c>
      <c r="N110" s="143">
        <f t="shared" si="88"/>
        <v>13748</v>
      </c>
      <c r="HL110" s="109"/>
      <c r="HM110" s="109"/>
      <c r="HN110" s="109"/>
      <c r="HO110" s="109"/>
      <c r="HP110" s="109"/>
      <c r="HQ110" s="109"/>
      <c r="HR110" s="109"/>
      <c r="HS110" s="109"/>
      <c r="HT110" s="109"/>
      <c r="HU110" s="109"/>
      <c r="HV110" s="109"/>
      <c r="HW110" s="109"/>
    </row>
    <row r="111" spans="1:231" s="99" customFormat="1" ht="16.5" customHeight="1">
      <c r="A111" s="130">
        <v>616004</v>
      </c>
      <c r="B111" s="120" t="s">
        <v>118</v>
      </c>
      <c r="C111" s="120">
        <v>18283</v>
      </c>
      <c r="D111" s="120">
        <v>15777</v>
      </c>
      <c r="E111" s="120">
        <v>15010</v>
      </c>
      <c r="F111" s="131">
        <f t="shared" si="89"/>
        <v>-0.0939198493495601</v>
      </c>
      <c r="G111" s="120">
        <v>9243</v>
      </c>
      <c r="H111" s="132">
        <v>0.8</v>
      </c>
      <c r="I111" s="120">
        <f t="shared" si="90"/>
        <v>12323</v>
      </c>
      <c r="J111" s="120">
        <f t="shared" si="91"/>
        <v>11166</v>
      </c>
      <c r="K111" s="120">
        <f t="shared" si="91"/>
        <v>10117</v>
      </c>
      <c r="L111" s="143">
        <f t="shared" si="88"/>
        <v>9858</v>
      </c>
      <c r="M111" s="143">
        <f t="shared" si="88"/>
        <v>8933</v>
      </c>
      <c r="N111" s="143">
        <f t="shared" si="88"/>
        <v>8094</v>
      </c>
      <c r="HL111" s="109"/>
      <c r="HM111" s="109"/>
      <c r="HN111" s="109"/>
      <c r="HO111" s="109"/>
      <c r="HP111" s="109"/>
      <c r="HQ111" s="109"/>
      <c r="HR111" s="109"/>
      <c r="HS111" s="109"/>
      <c r="HT111" s="109"/>
      <c r="HU111" s="109"/>
      <c r="HV111" s="109"/>
      <c r="HW111" s="109"/>
    </row>
    <row r="112" spans="1:231" s="99" customFormat="1" ht="16.5" customHeight="1">
      <c r="A112" s="130">
        <v>616005</v>
      </c>
      <c r="B112" s="120" t="s">
        <v>119</v>
      </c>
      <c r="C112" s="120">
        <v>23781</v>
      </c>
      <c r="D112" s="120">
        <v>21664</v>
      </c>
      <c r="E112" s="120">
        <v>17411</v>
      </c>
      <c r="F112" s="131">
        <f t="shared" si="89"/>
        <v>-0.14434872603088555</v>
      </c>
      <c r="G112" s="120">
        <v>10773</v>
      </c>
      <c r="H112" s="132">
        <v>0.8</v>
      </c>
      <c r="I112" s="120">
        <f t="shared" si="90"/>
        <v>12747</v>
      </c>
      <c r="J112" s="120">
        <f t="shared" si="91"/>
        <v>10907</v>
      </c>
      <c r="K112" s="120">
        <f t="shared" si="91"/>
        <v>9333</v>
      </c>
      <c r="L112" s="143">
        <f aca="true" t="shared" si="92" ref="L112:N113">ROUND(I112*$H112,0)</f>
        <v>10198</v>
      </c>
      <c r="M112" s="143">
        <f t="shared" si="92"/>
        <v>8726</v>
      </c>
      <c r="N112" s="143">
        <f t="shared" si="92"/>
        <v>7466</v>
      </c>
      <c r="HL112" s="109"/>
      <c r="HM112" s="109"/>
      <c r="HN112" s="109"/>
      <c r="HO112" s="109"/>
      <c r="HP112" s="109"/>
      <c r="HQ112" s="109"/>
      <c r="HR112" s="109"/>
      <c r="HS112" s="109"/>
      <c r="HT112" s="109"/>
      <c r="HU112" s="109"/>
      <c r="HV112" s="109"/>
      <c r="HW112" s="109"/>
    </row>
    <row r="113" spans="1:231" s="99" customFormat="1" ht="16.5" customHeight="1">
      <c r="A113" s="130">
        <v>616006</v>
      </c>
      <c r="B113" s="120" t="s">
        <v>120</v>
      </c>
      <c r="C113" s="120">
        <v>19811</v>
      </c>
      <c r="D113" s="120">
        <v>18708</v>
      </c>
      <c r="E113" s="120">
        <v>17411</v>
      </c>
      <c r="F113" s="131">
        <f t="shared" si="89"/>
        <v>-0.06252723694773787</v>
      </c>
      <c r="G113" s="120">
        <v>8184</v>
      </c>
      <c r="H113" s="132">
        <v>0.8</v>
      </c>
      <c r="I113" s="120">
        <f t="shared" si="90"/>
        <v>15302</v>
      </c>
      <c r="J113" s="120">
        <f t="shared" si="91"/>
        <v>14345</v>
      </c>
      <c r="K113" s="120">
        <f t="shared" si="91"/>
        <v>13448</v>
      </c>
      <c r="L113" s="143">
        <f t="shared" si="92"/>
        <v>12242</v>
      </c>
      <c r="M113" s="143">
        <f t="shared" si="92"/>
        <v>11476</v>
      </c>
      <c r="N113" s="143">
        <f t="shared" si="92"/>
        <v>10758</v>
      </c>
      <c r="HL113" s="109"/>
      <c r="HM113" s="109"/>
      <c r="HN113" s="109"/>
      <c r="HO113" s="109"/>
      <c r="HP113" s="109"/>
      <c r="HQ113" s="109"/>
      <c r="HR113" s="109"/>
      <c r="HS113" s="109"/>
      <c r="HT113" s="109"/>
      <c r="HU113" s="109"/>
      <c r="HV113" s="109"/>
      <c r="HW113" s="109"/>
    </row>
    <row r="114" spans="1:231" s="99" customFormat="1" ht="16.5" customHeight="1">
      <c r="A114" s="130">
        <v>616007</v>
      </c>
      <c r="B114" s="120" t="s">
        <v>121</v>
      </c>
      <c r="C114" s="120">
        <v>28444</v>
      </c>
      <c r="D114" s="120">
        <v>21812</v>
      </c>
      <c r="E114" s="120">
        <v>20587</v>
      </c>
      <c r="F114" s="131">
        <f t="shared" si="89"/>
        <v>-0.1492514897435565</v>
      </c>
      <c r="G114" s="120">
        <v>11161</v>
      </c>
      <c r="H114" s="132">
        <v>0.8</v>
      </c>
      <c r="I114" s="120">
        <f t="shared" si="90"/>
        <v>14900</v>
      </c>
      <c r="J114" s="120">
        <f t="shared" si="91"/>
        <v>12676</v>
      </c>
      <c r="K114" s="120">
        <f t="shared" si="91"/>
        <v>10784</v>
      </c>
      <c r="L114" s="143">
        <f aca="true" t="shared" si="93" ref="L114:N114">ROUND(I114*$H114,0)</f>
        <v>11920</v>
      </c>
      <c r="M114" s="143">
        <f t="shared" si="93"/>
        <v>10141</v>
      </c>
      <c r="N114" s="143">
        <f t="shared" si="93"/>
        <v>8627</v>
      </c>
      <c r="HL114" s="109"/>
      <c r="HM114" s="109"/>
      <c r="HN114" s="109"/>
      <c r="HO114" s="109"/>
      <c r="HP114" s="109"/>
      <c r="HQ114" s="109"/>
      <c r="HR114" s="109"/>
      <c r="HS114" s="109"/>
      <c r="HT114" s="109"/>
      <c r="HU114" s="109"/>
      <c r="HV114" s="109"/>
      <c r="HW114" s="109"/>
    </row>
    <row r="115" spans="1:14" s="106" customFormat="1" ht="16.5" customHeight="1">
      <c r="A115" s="115">
        <v>617</v>
      </c>
      <c r="B115" s="116" t="s">
        <v>122</v>
      </c>
      <c r="C115" s="116">
        <f aca="true" t="shared" si="94" ref="C115:G115">SUM(C116:C124)</f>
        <v>54325</v>
      </c>
      <c r="D115" s="116">
        <f t="shared" si="94"/>
        <v>56170</v>
      </c>
      <c r="E115" s="116">
        <f t="shared" si="94"/>
        <v>47311</v>
      </c>
      <c r="F115" s="116"/>
      <c r="G115" s="116">
        <f t="shared" si="94"/>
        <v>27356</v>
      </c>
      <c r="H115" s="122"/>
      <c r="I115" s="116">
        <f aca="true" t="shared" si="95" ref="I115:N115">SUM(I116:I124)</f>
        <v>37264</v>
      </c>
      <c r="J115" s="116">
        <f t="shared" si="95"/>
        <v>34939</v>
      </c>
      <c r="K115" s="116">
        <f t="shared" si="95"/>
        <v>33272</v>
      </c>
      <c r="L115" s="145">
        <f t="shared" si="95"/>
        <v>31262</v>
      </c>
      <c r="M115" s="145">
        <f t="shared" si="95"/>
        <v>29618</v>
      </c>
      <c r="N115" s="145">
        <f t="shared" si="95"/>
        <v>28206</v>
      </c>
    </row>
    <row r="116" spans="1:14" s="99" customFormat="1" ht="16.5" customHeight="1">
      <c r="A116" s="130">
        <v>617001</v>
      </c>
      <c r="B116" s="120" t="s">
        <v>123</v>
      </c>
      <c r="C116" s="120">
        <v>691</v>
      </c>
      <c r="D116" s="120">
        <v>623</v>
      </c>
      <c r="E116" s="120">
        <v>561</v>
      </c>
      <c r="F116" s="131">
        <f aca="true" t="shared" si="96" ref="F116:F124">(E116/C116)^(1/2)-1</f>
        <v>-0.09896345267035156</v>
      </c>
      <c r="G116" s="120">
        <v>711</v>
      </c>
      <c r="H116" s="132">
        <v>0.8</v>
      </c>
      <c r="I116" s="136">
        <v>650</v>
      </c>
      <c r="J116" s="136">
        <v>600</v>
      </c>
      <c r="K116" s="136">
        <v>600</v>
      </c>
      <c r="L116" s="144">
        <v>650</v>
      </c>
      <c r="M116" s="144">
        <v>600</v>
      </c>
      <c r="N116" s="144">
        <v>600</v>
      </c>
    </row>
    <row r="117" spans="1:231" s="99" customFormat="1" ht="16.5" customHeight="1">
      <c r="A117" s="130">
        <v>617002</v>
      </c>
      <c r="B117" s="120" t="s">
        <v>124</v>
      </c>
      <c r="C117" s="120">
        <v>5781</v>
      </c>
      <c r="D117" s="120">
        <v>12526</v>
      </c>
      <c r="E117" s="120">
        <v>6826</v>
      </c>
      <c r="F117" s="131">
        <f t="shared" si="96"/>
        <v>0.0866299156581245</v>
      </c>
      <c r="G117" s="120">
        <v>8647</v>
      </c>
      <c r="H117" s="132">
        <v>0.8</v>
      </c>
      <c r="I117" s="136">
        <v>8800</v>
      </c>
      <c r="J117" s="136">
        <v>8800</v>
      </c>
      <c r="K117" s="136">
        <v>8800</v>
      </c>
      <c r="L117" s="144">
        <v>8800</v>
      </c>
      <c r="M117" s="144">
        <v>8800</v>
      </c>
      <c r="N117" s="144">
        <v>8800</v>
      </c>
      <c r="HL117" s="109"/>
      <c r="HM117" s="109"/>
      <c r="HN117" s="109"/>
      <c r="HO117" s="109"/>
      <c r="HP117" s="109"/>
      <c r="HQ117" s="109"/>
      <c r="HR117" s="109"/>
      <c r="HS117" s="109"/>
      <c r="HT117" s="109"/>
      <c r="HU117" s="109"/>
      <c r="HV117" s="109"/>
      <c r="HW117" s="109"/>
    </row>
    <row r="118" spans="1:231" s="99" customFormat="1" ht="16.5" customHeight="1">
      <c r="A118" s="130">
        <v>617003</v>
      </c>
      <c r="B118" s="120" t="s">
        <v>125</v>
      </c>
      <c r="C118" s="120">
        <v>2194</v>
      </c>
      <c r="D118" s="120">
        <v>1835</v>
      </c>
      <c r="E118" s="120">
        <v>1599</v>
      </c>
      <c r="F118" s="131">
        <f t="shared" si="96"/>
        <v>-0.14629874423602907</v>
      </c>
      <c r="G118" s="120">
        <v>618</v>
      </c>
      <c r="H118" s="132">
        <v>0.8</v>
      </c>
      <c r="I118" s="136">
        <v>500</v>
      </c>
      <c r="J118" s="136">
        <v>500</v>
      </c>
      <c r="K118" s="136">
        <v>500</v>
      </c>
      <c r="L118" s="144">
        <v>500</v>
      </c>
      <c r="M118" s="144">
        <v>500</v>
      </c>
      <c r="N118" s="144">
        <v>500</v>
      </c>
      <c r="HL118" s="109"/>
      <c r="HM118" s="109"/>
      <c r="HN118" s="109"/>
      <c r="HO118" s="109"/>
      <c r="HP118" s="109"/>
      <c r="HQ118" s="109"/>
      <c r="HR118" s="109"/>
      <c r="HS118" s="109"/>
      <c r="HT118" s="109"/>
      <c r="HU118" s="109"/>
      <c r="HV118" s="109"/>
      <c r="HW118" s="109"/>
    </row>
    <row r="119" spans="1:231" s="99" customFormat="1" ht="16.5" customHeight="1">
      <c r="A119" s="130">
        <v>617004</v>
      </c>
      <c r="B119" s="120" t="s">
        <v>126</v>
      </c>
      <c r="C119" s="120">
        <v>5474</v>
      </c>
      <c r="D119" s="120">
        <v>5278</v>
      </c>
      <c r="E119" s="120">
        <v>5013</v>
      </c>
      <c r="F119" s="131">
        <f t="shared" si="96"/>
        <v>-0.04303411513980171</v>
      </c>
      <c r="G119" s="120">
        <v>2257</v>
      </c>
      <c r="H119" s="132">
        <v>0.8</v>
      </c>
      <c r="I119" s="136">
        <v>4591</v>
      </c>
      <c r="J119" s="136">
        <v>4393</v>
      </c>
      <c r="K119" s="136">
        <v>4204</v>
      </c>
      <c r="L119" s="144">
        <v>3673</v>
      </c>
      <c r="M119" s="144">
        <v>3514</v>
      </c>
      <c r="N119" s="144">
        <v>3363</v>
      </c>
      <c r="HL119" s="109"/>
      <c r="HM119" s="109"/>
      <c r="HN119" s="109"/>
      <c r="HO119" s="109"/>
      <c r="HP119" s="109"/>
      <c r="HQ119" s="109"/>
      <c r="HR119" s="109"/>
      <c r="HS119" s="109"/>
      <c r="HT119" s="109"/>
      <c r="HU119" s="109"/>
      <c r="HV119" s="109"/>
      <c r="HW119" s="109"/>
    </row>
    <row r="120" spans="1:231" s="99" customFormat="1" ht="16.5" customHeight="1">
      <c r="A120" s="130">
        <v>617005</v>
      </c>
      <c r="B120" s="120" t="s">
        <v>127</v>
      </c>
      <c r="C120" s="120">
        <v>8807</v>
      </c>
      <c r="D120" s="120">
        <v>6689</v>
      </c>
      <c r="E120" s="120">
        <v>6621</v>
      </c>
      <c r="F120" s="131">
        <f t="shared" si="96"/>
        <v>-0.13294270652049966</v>
      </c>
      <c r="G120" s="120">
        <v>4497</v>
      </c>
      <c r="H120" s="132">
        <v>0.8</v>
      </c>
      <c r="I120" s="136">
        <v>5400</v>
      </c>
      <c r="J120" s="136">
        <v>5033</v>
      </c>
      <c r="K120" s="136">
        <v>4691</v>
      </c>
      <c r="L120" s="144">
        <v>4320</v>
      </c>
      <c r="M120" s="144">
        <v>4026</v>
      </c>
      <c r="N120" s="144">
        <v>3753</v>
      </c>
      <c r="HL120" s="109"/>
      <c r="HM120" s="109"/>
      <c r="HN120" s="109"/>
      <c r="HO120" s="109"/>
      <c r="HP120" s="109"/>
      <c r="HQ120" s="109"/>
      <c r="HR120" s="109"/>
      <c r="HS120" s="109"/>
      <c r="HT120" s="109"/>
      <c r="HU120" s="109"/>
      <c r="HV120" s="109"/>
      <c r="HW120" s="109"/>
    </row>
    <row r="121" spans="1:231" s="99" customFormat="1" ht="16.5" customHeight="1">
      <c r="A121" s="130">
        <v>617006</v>
      </c>
      <c r="B121" s="120" t="s">
        <v>128</v>
      </c>
      <c r="C121" s="120">
        <v>6434</v>
      </c>
      <c r="D121" s="120">
        <v>4257</v>
      </c>
      <c r="E121" s="120">
        <v>3346</v>
      </c>
      <c r="F121" s="131">
        <f t="shared" si="96"/>
        <v>-0.2788552601740232</v>
      </c>
      <c r="G121" s="120">
        <v>2584</v>
      </c>
      <c r="H121" s="132">
        <v>0.8</v>
      </c>
      <c r="I121" s="136">
        <v>2500</v>
      </c>
      <c r="J121" s="136">
        <v>2200</v>
      </c>
      <c r="K121" s="136">
        <v>1900</v>
      </c>
      <c r="L121" s="144">
        <v>1800</v>
      </c>
      <c r="M121" s="144">
        <v>1600</v>
      </c>
      <c r="N121" s="144">
        <v>1300</v>
      </c>
      <c r="HL121" s="109"/>
      <c r="HM121" s="109"/>
      <c r="HN121" s="109"/>
      <c r="HO121" s="109"/>
      <c r="HP121" s="109"/>
      <c r="HQ121" s="109"/>
      <c r="HR121" s="109"/>
      <c r="HS121" s="109"/>
      <c r="HT121" s="109"/>
      <c r="HU121" s="109"/>
      <c r="HV121" s="109"/>
      <c r="HW121" s="109"/>
    </row>
    <row r="122" spans="1:231" s="99" customFormat="1" ht="16.5" customHeight="1">
      <c r="A122" s="130">
        <v>617007</v>
      </c>
      <c r="B122" s="120" t="s">
        <v>129</v>
      </c>
      <c r="C122" s="120">
        <v>5042</v>
      </c>
      <c r="D122" s="120">
        <v>3704</v>
      </c>
      <c r="E122" s="120">
        <v>3369</v>
      </c>
      <c r="F122" s="131">
        <f t="shared" si="96"/>
        <v>-0.18257280000555542</v>
      </c>
      <c r="G122" s="120">
        <v>1620</v>
      </c>
      <c r="H122" s="132">
        <v>0.8</v>
      </c>
      <c r="I122" s="136">
        <v>2251</v>
      </c>
      <c r="J122" s="136">
        <v>1840</v>
      </c>
      <c r="K122" s="136">
        <v>1840</v>
      </c>
      <c r="L122" s="144">
        <v>1801</v>
      </c>
      <c r="M122" s="144">
        <v>1600</v>
      </c>
      <c r="N122" s="144">
        <v>1600</v>
      </c>
      <c r="HL122" s="109"/>
      <c r="HM122" s="109"/>
      <c r="HN122" s="109"/>
      <c r="HO122" s="109"/>
      <c r="HP122" s="109"/>
      <c r="HQ122" s="109"/>
      <c r="HR122" s="109"/>
      <c r="HS122" s="109"/>
      <c r="HT122" s="109"/>
      <c r="HU122" s="109"/>
      <c r="HV122" s="109"/>
      <c r="HW122" s="109"/>
    </row>
    <row r="123" spans="1:231" s="99" customFormat="1" ht="16.5" customHeight="1">
      <c r="A123" s="130">
        <v>617008</v>
      </c>
      <c r="B123" s="120" t="s">
        <v>130</v>
      </c>
      <c r="C123" s="120">
        <v>5977</v>
      </c>
      <c r="D123" s="120">
        <v>3649</v>
      </c>
      <c r="E123" s="120">
        <v>2923</v>
      </c>
      <c r="F123" s="131">
        <f t="shared" si="96"/>
        <v>-0.30068510306195295</v>
      </c>
      <c r="G123" s="120">
        <v>1280</v>
      </c>
      <c r="H123" s="132">
        <v>0.8</v>
      </c>
      <c r="I123" s="136">
        <v>2300</v>
      </c>
      <c r="J123" s="136">
        <v>2100</v>
      </c>
      <c r="K123" s="136">
        <v>2000</v>
      </c>
      <c r="L123" s="144">
        <v>1500</v>
      </c>
      <c r="M123" s="144">
        <v>1400</v>
      </c>
      <c r="N123" s="144">
        <v>1300</v>
      </c>
      <c r="HL123" s="109"/>
      <c r="HM123" s="109"/>
      <c r="HN123" s="109"/>
      <c r="HO123" s="109"/>
      <c r="HP123" s="109"/>
      <c r="HQ123" s="109"/>
      <c r="HR123" s="109"/>
      <c r="HS123" s="109"/>
      <c r="HT123" s="109"/>
      <c r="HU123" s="109"/>
      <c r="HV123" s="109"/>
      <c r="HW123" s="109"/>
    </row>
    <row r="124" spans="1:231" s="99" customFormat="1" ht="16.5" customHeight="1">
      <c r="A124" s="130">
        <v>617009</v>
      </c>
      <c r="B124" s="120" t="s">
        <v>131</v>
      </c>
      <c r="C124" s="120">
        <v>13925</v>
      </c>
      <c r="D124" s="120">
        <v>17609</v>
      </c>
      <c r="E124" s="120">
        <v>17053</v>
      </c>
      <c r="F124" s="131">
        <f t="shared" si="96"/>
        <v>0.1066309036494637</v>
      </c>
      <c r="G124" s="120">
        <v>5142</v>
      </c>
      <c r="H124" s="132">
        <v>0.8</v>
      </c>
      <c r="I124" s="136">
        <v>10272</v>
      </c>
      <c r="J124" s="136">
        <v>9473</v>
      </c>
      <c r="K124" s="136">
        <v>8737</v>
      </c>
      <c r="L124" s="144">
        <v>8218</v>
      </c>
      <c r="M124" s="144">
        <v>7578</v>
      </c>
      <c r="N124" s="144">
        <v>6990</v>
      </c>
      <c r="HL124" s="109"/>
      <c r="HM124" s="109"/>
      <c r="HN124" s="109"/>
      <c r="HO124" s="109"/>
      <c r="HP124" s="109"/>
      <c r="HQ124" s="109"/>
      <c r="HR124" s="109"/>
      <c r="HS124" s="109"/>
      <c r="HT124" s="109"/>
      <c r="HU124" s="109"/>
      <c r="HV124" s="109"/>
      <c r="HW124" s="109"/>
    </row>
    <row r="125" spans="1:14" s="106" customFormat="1" ht="16.5" customHeight="1">
      <c r="A125" s="115">
        <v>618</v>
      </c>
      <c r="B125" s="116" t="s">
        <v>132</v>
      </c>
      <c r="C125" s="116">
        <f aca="true" t="shared" si="97" ref="C125:G125">SUM(C126:C134)</f>
        <v>61144</v>
      </c>
      <c r="D125" s="116">
        <f t="shared" si="97"/>
        <v>46910</v>
      </c>
      <c r="E125" s="116">
        <f t="shared" si="97"/>
        <v>43567</v>
      </c>
      <c r="F125" s="116"/>
      <c r="G125" s="116">
        <f t="shared" si="97"/>
        <v>21088</v>
      </c>
      <c r="H125" s="122"/>
      <c r="I125" s="116">
        <f aca="true" t="shared" si="98" ref="I125:N125">SUM(I126:I134)</f>
        <v>33628</v>
      </c>
      <c r="J125" s="116">
        <f t="shared" si="98"/>
        <v>30219</v>
      </c>
      <c r="K125" s="116">
        <f t="shared" si="98"/>
        <v>27483</v>
      </c>
      <c r="L125" s="145">
        <f t="shared" si="98"/>
        <v>26901</v>
      </c>
      <c r="M125" s="145">
        <f t="shared" si="98"/>
        <v>24176</v>
      </c>
      <c r="N125" s="145">
        <f t="shared" si="98"/>
        <v>21986</v>
      </c>
    </row>
    <row r="126" spans="1:14" s="99" customFormat="1" ht="16.5" customHeight="1">
      <c r="A126" s="130">
        <v>618001</v>
      </c>
      <c r="B126" s="120" t="s">
        <v>133</v>
      </c>
      <c r="C126" s="120"/>
      <c r="D126" s="120"/>
      <c r="E126" s="120"/>
      <c r="F126" s="131"/>
      <c r="G126" s="120"/>
      <c r="H126" s="122"/>
      <c r="I126" s="120">
        <f>ROUND(C126*(1+$F126),0)</f>
        <v>0</v>
      </c>
      <c r="J126" s="120">
        <f>ROUND(D126*(1+$F126),0)</f>
        <v>0</v>
      </c>
      <c r="K126" s="120">
        <f>ROUND(E126*(1+$F126),0)</f>
        <v>0</v>
      </c>
      <c r="L126" s="143">
        <f aca="true" t="shared" si="99" ref="L126:N128">ROUND(I126*$H126,0)</f>
        <v>0</v>
      </c>
      <c r="M126" s="143">
        <f t="shared" si="99"/>
        <v>0</v>
      </c>
      <c r="N126" s="143">
        <f t="shared" si="99"/>
        <v>0</v>
      </c>
    </row>
    <row r="127" spans="1:231" s="99" customFormat="1" ht="16.5" customHeight="1">
      <c r="A127" s="130">
        <v>618002</v>
      </c>
      <c r="B127" s="120" t="s">
        <v>134</v>
      </c>
      <c r="C127" s="120">
        <v>12441</v>
      </c>
      <c r="D127" s="120">
        <v>10486</v>
      </c>
      <c r="E127" s="120">
        <v>12307</v>
      </c>
      <c r="F127" s="131">
        <f>(E127/C127)^(1/2)-1</f>
        <v>-0.005399999174062531</v>
      </c>
      <c r="G127" s="120">
        <v>6002</v>
      </c>
      <c r="H127" s="132">
        <v>0.8</v>
      </c>
      <c r="I127" s="120">
        <f>ROUND(E127*(1+$F127)^2,0)</f>
        <v>12174</v>
      </c>
      <c r="J127" s="120">
        <f aca="true" t="shared" si="100" ref="J127:J131">ROUND(I127*(1+$F127),0)</f>
        <v>12108</v>
      </c>
      <c r="K127" s="120">
        <f aca="true" t="shared" si="101" ref="K127:K131">ROUND(J127*(1+$F127),0)</f>
        <v>12043</v>
      </c>
      <c r="L127" s="143">
        <f t="shared" si="99"/>
        <v>9739</v>
      </c>
      <c r="M127" s="143">
        <f t="shared" si="99"/>
        <v>9686</v>
      </c>
      <c r="N127" s="143">
        <f t="shared" si="99"/>
        <v>9634</v>
      </c>
      <c r="HL127" s="109"/>
      <c r="HM127" s="109"/>
      <c r="HN127" s="109"/>
      <c r="HO127" s="109"/>
      <c r="HP127" s="109"/>
      <c r="HQ127" s="109"/>
      <c r="HR127" s="109"/>
      <c r="HS127" s="109"/>
      <c r="HT127" s="109"/>
      <c r="HU127" s="109"/>
      <c r="HV127" s="109"/>
      <c r="HW127" s="109"/>
    </row>
    <row r="128" spans="1:231" s="99" customFormat="1" ht="16.5" customHeight="1">
      <c r="A128" s="130">
        <v>618003</v>
      </c>
      <c r="B128" s="120" t="s">
        <v>135</v>
      </c>
      <c r="C128" s="120">
        <v>11531</v>
      </c>
      <c r="D128" s="120">
        <v>10796</v>
      </c>
      <c r="E128" s="120">
        <v>7619</v>
      </c>
      <c r="F128" s="131">
        <f>(E128/C128)^(1/2)-1</f>
        <v>-0.18714047199863826</v>
      </c>
      <c r="G128" s="120">
        <v>1170</v>
      </c>
      <c r="H128" s="132">
        <v>0.8</v>
      </c>
      <c r="I128" s="120">
        <f>ROUND(E128*(1+$F128)^2,0)</f>
        <v>5034</v>
      </c>
      <c r="J128" s="120">
        <f t="shared" si="100"/>
        <v>4092</v>
      </c>
      <c r="K128" s="120">
        <f t="shared" si="101"/>
        <v>3326</v>
      </c>
      <c r="L128" s="143">
        <f t="shared" si="99"/>
        <v>4027</v>
      </c>
      <c r="M128" s="143">
        <f t="shared" si="99"/>
        <v>3274</v>
      </c>
      <c r="N128" s="143">
        <f t="shared" si="99"/>
        <v>2661</v>
      </c>
      <c r="HL128" s="109"/>
      <c r="HM128" s="109"/>
      <c r="HN128" s="109"/>
      <c r="HO128" s="109"/>
      <c r="HP128" s="109"/>
      <c r="HQ128" s="109"/>
      <c r="HR128" s="109"/>
      <c r="HS128" s="109"/>
      <c r="HT128" s="109"/>
      <c r="HU128" s="109"/>
      <c r="HV128" s="109"/>
      <c r="HW128" s="109"/>
    </row>
    <row r="129" spans="1:231" s="99" customFormat="1" ht="16.5" customHeight="1">
      <c r="A129" s="130">
        <v>618004</v>
      </c>
      <c r="B129" s="120" t="s">
        <v>136</v>
      </c>
      <c r="C129" s="120">
        <v>12166</v>
      </c>
      <c r="D129" s="120">
        <v>9832</v>
      </c>
      <c r="E129" s="120">
        <v>10334</v>
      </c>
      <c r="F129" s="131">
        <f aca="true" t="shared" si="102" ref="F129:F134">(E129/C129)^(1/2)-1</f>
        <v>-0.0783621066935064</v>
      </c>
      <c r="G129" s="120">
        <v>7857</v>
      </c>
      <c r="H129" s="132">
        <v>0.8</v>
      </c>
      <c r="I129" s="120">
        <f aca="true" t="shared" si="103" ref="I129:I134">ROUND(E129*(1+$F129)^2,0)</f>
        <v>8778</v>
      </c>
      <c r="J129" s="120">
        <f aca="true" t="shared" si="104" ref="J129:K133">ROUND(I129*(1+$F129),0)</f>
        <v>8090</v>
      </c>
      <c r="K129" s="120">
        <f t="shared" si="104"/>
        <v>7456</v>
      </c>
      <c r="L129" s="143">
        <f aca="true" t="shared" si="105" ref="L129:N133">ROUND(I129*$H129,0)</f>
        <v>7022</v>
      </c>
      <c r="M129" s="143">
        <f t="shared" si="105"/>
        <v>6472</v>
      </c>
      <c r="N129" s="143">
        <f t="shared" si="105"/>
        <v>5965</v>
      </c>
      <c r="HL129" s="109"/>
      <c r="HM129" s="109"/>
      <c r="HN129" s="109"/>
      <c r="HO129" s="109"/>
      <c r="HP129" s="109"/>
      <c r="HQ129" s="109"/>
      <c r="HR129" s="109"/>
      <c r="HS129" s="109"/>
      <c r="HT129" s="109"/>
      <c r="HU129" s="109"/>
      <c r="HV129" s="109"/>
      <c r="HW129" s="109"/>
    </row>
    <row r="130" spans="1:231" s="99" customFormat="1" ht="16.5" customHeight="1">
      <c r="A130" s="130">
        <v>618005</v>
      </c>
      <c r="B130" s="120" t="s">
        <v>137</v>
      </c>
      <c r="C130" s="120">
        <v>6274</v>
      </c>
      <c r="D130" s="120">
        <v>4791</v>
      </c>
      <c r="E130" s="120">
        <v>3624</v>
      </c>
      <c r="F130" s="131">
        <f t="shared" si="102"/>
        <v>-0.23998557133304543</v>
      </c>
      <c r="G130" s="120">
        <v>2128</v>
      </c>
      <c r="H130" s="132">
        <v>0.8</v>
      </c>
      <c r="I130" s="120">
        <f t="shared" si="103"/>
        <v>2093</v>
      </c>
      <c r="J130" s="120">
        <f t="shared" si="100"/>
        <v>1591</v>
      </c>
      <c r="K130" s="120">
        <f t="shared" si="101"/>
        <v>1209</v>
      </c>
      <c r="L130" s="143">
        <f aca="true" t="shared" si="106" ref="L130:N131">ROUND(I130*$H130,0)</f>
        <v>1674</v>
      </c>
      <c r="M130" s="143">
        <f t="shared" si="106"/>
        <v>1273</v>
      </c>
      <c r="N130" s="143">
        <f t="shared" si="106"/>
        <v>967</v>
      </c>
      <c r="HL130" s="109"/>
      <c r="HM130" s="109"/>
      <c r="HN130" s="109"/>
      <c r="HO130" s="109"/>
      <c r="HP130" s="109"/>
      <c r="HQ130" s="109"/>
      <c r="HR130" s="109"/>
      <c r="HS130" s="109"/>
      <c r="HT130" s="109"/>
      <c r="HU130" s="109"/>
      <c r="HV130" s="109"/>
      <c r="HW130" s="109"/>
    </row>
    <row r="131" spans="1:231" s="99" customFormat="1" ht="16.5" customHeight="1">
      <c r="A131" s="130">
        <v>618006</v>
      </c>
      <c r="B131" s="120" t="s">
        <v>138</v>
      </c>
      <c r="C131" s="120">
        <v>4691</v>
      </c>
      <c r="D131" s="120">
        <v>3531</v>
      </c>
      <c r="E131" s="120">
        <v>3359</v>
      </c>
      <c r="F131" s="131">
        <f t="shared" si="102"/>
        <v>-0.15380143317549688</v>
      </c>
      <c r="G131" s="120">
        <v>1658</v>
      </c>
      <c r="H131" s="132">
        <v>0.8</v>
      </c>
      <c r="I131" s="120">
        <f t="shared" si="103"/>
        <v>2405</v>
      </c>
      <c r="J131" s="120">
        <f t="shared" si="100"/>
        <v>2035</v>
      </c>
      <c r="K131" s="120">
        <f t="shared" si="101"/>
        <v>1722</v>
      </c>
      <c r="L131" s="143">
        <f t="shared" si="106"/>
        <v>1924</v>
      </c>
      <c r="M131" s="143">
        <f t="shared" si="106"/>
        <v>1628</v>
      </c>
      <c r="N131" s="143">
        <f t="shared" si="106"/>
        <v>1378</v>
      </c>
      <c r="HL131" s="109"/>
      <c r="HM131" s="109"/>
      <c r="HN131" s="109"/>
      <c r="HO131" s="109"/>
      <c r="HP131" s="109"/>
      <c r="HQ131" s="109"/>
      <c r="HR131" s="109"/>
      <c r="HS131" s="109"/>
      <c r="HT131" s="109"/>
      <c r="HU131" s="109"/>
      <c r="HV131" s="109"/>
      <c r="HW131" s="109"/>
    </row>
    <row r="132" spans="1:231" s="99" customFormat="1" ht="16.5" customHeight="1">
      <c r="A132" s="130">
        <v>618007</v>
      </c>
      <c r="B132" s="120" t="s">
        <v>296</v>
      </c>
      <c r="C132" s="120">
        <v>1410</v>
      </c>
      <c r="D132" s="120">
        <v>1073</v>
      </c>
      <c r="E132" s="120">
        <v>993</v>
      </c>
      <c r="F132" s="131">
        <f t="shared" si="102"/>
        <v>-0.16080078697073596</v>
      </c>
      <c r="G132" s="120">
        <v>338</v>
      </c>
      <c r="H132" s="132">
        <v>0.8</v>
      </c>
      <c r="I132" s="120">
        <f t="shared" si="103"/>
        <v>699</v>
      </c>
      <c r="J132" s="120">
        <f t="shared" si="104"/>
        <v>587</v>
      </c>
      <c r="K132" s="120">
        <f t="shared" si="104"/>
        <v>493</v>
      </c>
      <c r="L132" s="143">
        <f t="shared" si="105"/>
        <v>559</v>
      </c>
      <c r="M132" s="143">
        <f t="shared" si="105"/>
        <v>470</v>
      </c>
      <c r="N132" s="143">
        <f t="shared" si="105"/>
        <v>394</v>
      </c>
      <c r="HL132" s="109"/>
      <c r="HM132" s="109"/>
      <c r="HN132" s="109"/>
      <c r="HO132" s="109"/>
      <c r="HP132" s="109"/>
      <c r="HQ132" s="109"/>
      <c r="HR132" s="109"/>
      <c r="HS132" s="109"/>
      <c r="HT132" s="109"/>
      <c r="HU132" s="109"/>
      <c r="HV132" s="109"/>
      <c r="HW132" s="109"/>
    </row>
    <row r="133" spans="1:231" s="99" customFormat="1" ht="16.5" customHeight="1">
      <c r="A133" s="130">
        <v>618008</v>
      </c>
      <c r="B133" s="120" t="s">
        <v>297</v>
      </c>
      <c r="C133" s="120">
        <v>2570</v>
      </c>
      <c r="D133" s="120">
        <v>1870</v>
      </c>
      <c r="E133" s="120">
        <v>1718</v>
      </c>
      <c r="F133" s="131">
        <f t="shared" si="102"/>
        <v>-0.18239221489006507</v>
      </c>
      <c r="G133" s="120">
        <v>686</v>
      </c>
      <c r="H133" s="132">
        <v>0.8</v>
      </c>
      <c r="I133" s="120">
        <f t="shared" si="103"/>
        <v>1148</v>
      </c>
      <c r="J133" s="120">
        <f t="shared" si="104"/>
        <v>939</v>
      </c>
      <c r="K133" s="120">
        <f t="shared" si="104"/>
        <v>768</v>
      </c>
      <c r="L133" s="143">
        <f t="shared" si="105"/>
        <v>918</v>
      </c>
      <c r="M133" s="143">
        <f t="shared" si="105"/>
        <v>751</v>
      </c>
      <c r="N133" s="143">
        <f t="shared" si="105"/>
        <v>614</v>
      </c>
      <c r="HL133" s="109"/>
      <c r="HM133" s="109"/>
      <c r="HN133" s="109"/>
      <c r="HO133" s="109"/>
      <c r="HP133" s="109"/>
      <c r="HQ133" s="109"/>
      <c r="HR133" s="109"/>
      <c r="HS133" s="109"/>
      <c r="HT133" s="109"/>
      <c r="HU133" s="109"/>
      <c r="HV133" s="109"/>
      <c r="HW133" s="109"/>
    </row>
    <row r="134" spans="1:231" s="99" customFormat="1" ht="16.5" customHeight="1">
      <c r="A134" s="130">
        <v>618009</v>
      </c>
      <c r="B134" s="120" t="s">
        <v>141</v>
      </c>
      <c r="C134" s="120">
        <v>10061</v>
      </c>
      <c r="D134" s="120">
        <v>4531</v>
      </c>
      <c r="E134" s="120">
        <v>3613</v>
      </c>
      <c r="F134" s="131">
        <f t="shared" si="102"/>
        <v>-0.4007425991596083</v>
      </c>
      <c r="G134" s="120">
        <v>1249</v>
      </c>
      <c r="H134" s="132">
        <v>0.8</v>
      </c>
      <c r="I134" s="120">
        <f t="shared" si="103"/>
        <v>1297</v>
      </c>
      <c r="J134" s="120">
        <f>ROUND(I134*(1+$F134),0)</f>
        <v>777</v>
      </c>
      <c r="K134" s="120">
        <f>ROUND(J134*(1+$F134),0)</f>
        <v>466</v>
      </c>
      <c r="L134" s="143">
        <f aca="true" t="shared" si="107" ref="L134:N134">ROUND(I134*$H134,0)</f>
        <v>1038</v>
      </c>
      <c r="M134" s="143">
        <f t="shared" si="107"/>
        <v>622</v>
      </c>
      <c r="N134" s="143">
        <f t="shared" si="107"/>
        <v>373</v>
      </c>
      <c r="HL134" s="109"/>
      <c r="HM134" s="109"/>
      <c r="HN134" s="109"/>
      <c r="HO134" s="109"/>
      <c r="HP134" s="109"/>
      <c r="HQ134" s="109"/>
      <c r="HR134" s="109"/>
      <c r="HS134" s="109"/>
      <c r="HT134" s="109"/>
      <c r="HU134" s="109"/>
      <c r="HV134" s="109"/>
      <c r="HW134" s="109"/>
    </row>
    <row r="135" spans="1:14" s="106" customFormat="1" ht="16.5" customHeight="1">
      <c r="A135" s="115">
        <v>619</v>
      </c>
      <c r="B135" s="116" t="s">
        <v>142</v>
      </c>
      <c r="C135" s="116">
        <f>SUM(C136:C139)</f>
        <v>35204</v>
      </c>
      <c r="D135" s="116">
        <f>SUM(D136:D139)</f>
        <v>28616</v>
      </c>
      <c r="E135" s="116">
        <f>SUM(E136:E139)</f>
        <v>27310</v>
      </c>
      <c r="F135" s="116"/>
      <c r="G135" s="116">
        <f>SUM(G136:G139)</f>
        <v>13059</v>
      </c>
      <c r="H135" s="122"/>
      <c r="I135" s="116">
        <f aca="true" t="shared" si="108" ref="I135:N135">SUM(I136:I139)</f>
        <v>21404</v>
      </c>
      <c r="J135" s="116">
        <f t="shared" si="108"/>
        <v>19015</v>
      </c>
      <c r="K135" s="116">
        <f t="shared" si="108"/>
        <v>16929</v>
      </c>
      <c r="L135" s="145">
        <f t="shared" si="108"/>
        <v>17123</v>
      </c>
      <c r="M135" s="145">
        <f t="shared" si="108"/>
        <v>15212</v>
      </c>
      <c r="N135" s="145">
        <f t="shared" si="108"/>
        <v>13542</v>
      </c>
    </row>
    <row r="136" spans="1:14" s="99" customFormat="1" ht="16.5" customHeight="1">
      <c r="A136" s="130">
        <v>619001</v>
      </c>
      <c r="B136" s="120" t="s">
        <v>143</v>
      </c>
      <c r="C136" s="120"/>
      <c r="D136" s="120"/>
      <c r="E136" s="120"/>
      <c r="F136" s="131"/>
      <c r="G136" s="120"/>
      <c r="H136" s="122"/>
      <c r="I136" s="120">
        <f>ROUND(C136*(1+$F136),0)</f>
        <v>0</v>
      </c>
      <c r="J136" s="120">
        <f>ROUND(D136*(1+$F136),0)</f>
        <v>0</v>
      </c>
      <c r="K136" s="120">
        <f>ROUND(E136*(1+$F136),0)</f>
        <v>0</v>
      </c>
      <c r="L136" s="143">
        <f aca="true" t="shared" si="109" ref="L136:N139">ROUND(I136*$H136,0)</f>
        <v>0</v>
      </c>
      <c r="M136" s="143">
        <f t="shared" si="109"/>
        <v>0</v>
      </c>
      <c r="N136" s="143">
        <f t="shared" si="109"/>
        <v>0</v>
      </c>
    </row>
    <row r="137" spans="1:231" s="99" customFormat="1" ht="16.5" customHeight="1">
      <c r="A137" s="130">
        <v>619002</v>
      </c>
      <c r="B137" s="120" t="s">
        <v>144</v>
      </c>
      <c r="C137" s="120">
        <v>17851</v>
      </c>
      <c r="D137" s="120">
        <v>14997</v>
      </c>
      <c r="E137" s="120">
        <v>15029</v>
      </c>
      <c r="F137" s="131">
        <f>(E137/C137)^(1/2)-1</f>
        <v>-0.08244149053878314</v>
      </c>
      <c r="G137" s="120">
        <v>5235</v>
      </c>
      <c r="H137" s="132">
        <v>0.8</v>
      </c>
      <c r="I137" s="120">
        <f>ROUND(E137*(1+$F137)^2,0)</f>
        <v>12653</v>
      </c>
      <c r="J137" s="120">
        <f>ROUND(I137*(1+$F137),0)</f>
        <v>11610</v>
      </c>
      <c r="K137" s="120">
        <f>ROUND(J137*(1+$F137),0)</f>
        <v>10653</v>
      </c>
      <c r="L137" s="143">
        <f>ROUND(I137*$H137,0)</f>
        <v>10122</v>
      </c>
      <c r="M137" s="143">
        <f>ROUND(J137*$H137,0)</f>
        <v>9288</v>
      </c>
      <c r="N137" s="143">
        <f>ROUND(K137*$H137,0)</f>
        <v>8522</v>
      </c>
      <c r="HL137" s="109"/>
      <c r="HM137" s="109"/>
      <c r="HN137" s="109"/>
      <c r="HO137" s="109"/>
      <c r="HP137" s="109"/>
      <c r="HQ137" s="109"/>
      <c r="HR137" s="109"/>
      <c r="HS137" s="109"/>
      <c r="HT137" s="109"/>
      <c r="HU137" s="109"/>
      <c r="HV137" s="109"/>
      <c r="HW137" s="109"/>
    </row>
    <row r="138" spans="1:231" s="99" customFormat="1" ht="16.5" customHeight="1">
      <c r="A138" s="130">
        <v>619003</v>
      </c>
      <c r="B138" s="120" t="s">
        <v>145</v>
      </c>
      <c r="C138" s="120">
        <v>10418</v>
      </c>
      <c r="D138" s="120">
        <v>8795</v>
      </c>
      <c r="E138" s="120">
        <v>7871</v>
      </c>
      <c r="F138" s="131">
        <f>(E138/C138)^(1/2)-1</f>
        <v>-0.13079387166769918</v>
      </c>
      <c r="G138" s="120">
        <v>943</v>
      </c>
      <c r="H138" s="132">
        <v>0.8</v>
      </c>
      <c r="I138" s="120">
        <f>ROUND(E138*(1+$F138)^2,0)</f>
        <v>5947</v>
      </c>
      <c r="J138" s="120">
        <f>ROUND(I138*(1+$F138),0)</f>
        <v>5169</v>
      </c>
      <c r="K138" s="120">
        <f>ROUND(J138*(1+$F138),0)</f>
        <v>4493</v>
      </c>
      <c r="L138" s="143">
        <f aca="true" t="shared" si="110" ref="L138:N138">ROUND(I138*$H138,0)</f>
        <v>4758</v>
      </c>
      <c r="M138" s="143">
        <f t="shared" si="110"/>
        <v>4135</v>
      </c>
      <c r="N138" s="143">
        <f t="shared" si="110"/>
        <v>3594</v>
      </c>
      <c r="HL138" s="109"/>
      <c r="HM138" s="109"/>
      <c r="HN138" s="109"/>
      <c r="HO138" s="109"/>
      <c r="HP138" s="109"/>
      <c r="HQ138" s="109"/>
      <c r="HR138" s="109"/>
      <c r="HS138" s="109"/>
      <c r="HT138" s="109"/>
      <c r="HU138" s="109"/>
      <c r="HV138" s="109"/>
      <c r="HW138" s="109"/>
    </row>
    <row r="139" spans="1:231" s="99" customFormat="1" ht="16.5" customHeight="1">
      <c r="A139" s="130">
        <v>619004</v>
      </c>
      <c r="B139" s="120" t="s">
        <v>146</v>
      </c>
      <c r="C139" s="120">
        <v>6935</v>
      </c>
      <c r="D139" s="120">
        <v>4824</v>
      </c>
      <c r="E139" s="120">
        <v>4410</v>
      </c>
      <c r="F139" s="131">
        <f>(E139/C139)^(1/2)-1</f>
        <v>-0.2025635883848954</v>
      </c>
      <c r="G139" s="120">
        <v>6881</v>
      </c>
      <c r="H139" s="132">
        <v>0.8</v>
      </c>
      <c r="I139" s="120">
        <f>ROUND(E139*(1+$F139)^2,0)</f>
        <v>2804</v>
      </c>
      <c r="J139" s="120">
        <f>ROUND(I139*(1+$F139),0)</f>
        <v>2236</v>
      </c>
      <c r="K139" s="120">
        <f>ROUND(J139*(1+$F139),0)</f>
        <v>1783</v>
      </c>
      <c r="L139" s="143">
        <f t="shared" si="109"/>
        <v>2243</v>
      </c>
      <c r="M139" s="143">
        <f t="shared" si="109"/>
        <v>1789</v>
      </c>
      <c r="N139" s="143">
        <f t="shared" si="109"/>
        <v>1426</v>
      </c>
      <c r="HL139" s="109"/>
      <c r="HM139" s="109"/>
      <c r="HN139" s="109"/>
      <c r="HO139" s="109"/>
      <c r="HP139" s="109"/>
      <c r="HQ139" s="109"/>
      <c r="HR139" s="109"/>
      <c r="HS139" s="109"/>
      <c r="HT139" s="109"/>
      <c r="HU139" s="109"/>
      <c r="HV139" s="109"/>
      <c r="HW139" s="109"/>
    </row>
    <row r="140" spans="1:14" s="106" customFormat="1" ht="16.5" customHeight="1">
      <c r="A140" s="115">
        <v>620</v>
      </c>
      <c r="B140" s="116" t="s">
        <v>147</v>
      </c>
      <c r="C140" s="116">
        <f aca="true" t="shared" si="111" ref="C140:G140">SUM(C141:C146)</f>
        <v>109472</v>
      </c>
      <c r="D140" s="116">
        <f t="shared" si="111"/>
        <v>96222</v>
      </c>
      <c r="E140" s="116">
        <f t="shared" si="111"/>
        <v>99551</v>
      </c>
      <c r="F140" s="116"/>
      <c r="G140" s="116">
        <f t="shared" si="111"/>
        <v>28413</v>
      </c>
      <c r="H140" s="122"/>
      <c r="I140" s="116">
        <f aca="true" t="shared" si="112" ref="I140:N140">SUM(I141:I146)</f>
        <v>90737</v>
      </c>
      <c r="J140" s="116">
        <f t="shared" si="112"/>
        <v>86702</v>
      </c>
      <c r="K140" s="116">
        <f t="shared" si="112"/>
        <v>82896</v>
      </c>
      <c r="L140" s="145">
        <f t="shared" si="112"/>
        <v>72590</v>
      </c>
      <c r="M140" s="145">
        <f t="shared" si="112"/>
        <v>69362</v>
      </c>
      <c r="N140" s="145">
        <f t="shared" si="112"/>
        <v>66316</v>
      </c>
    </row>
    <row r="141" spans="1:231" s="99" customFormat="1" ht="16.5" customHeight="1">
      <c r="A141" s="130">
        <v>620001</v>
      </c>
      <c r="B141" s="120" t="s">
        <v>148</v>
      </c>
      <c r="C141" s="120">
        <v>8946</v>
      </c>
      <c r="D141" s="120">
        <v>7163</v>
      </c>
      <c r="E141" s="120">
        <v>9069</v>
      </c>
      <c r="F141" s="131">
        <f aca="true" t="shared" si="113" ref="F141:F146">(E141/C141)^(1/2)-1</f>
        <v>0.0068511119507619345</v>
      </c>
      <c r="G141" s="120">
        <v>111</v>
      </c>
      <c r="H141" s="132">
        <v>0.8</v>
      </c>
      <c r="I141" s="120">
        <f aca="true" t="shared" si="114" ref="I141:I146">ROUND(E141*(1+$F141)^2,0)</f>
        <v>9194</v>
      </c>
      <c r="J141" s="120">
        <f>ROUND(I141*(1+$F141),0)</f>
        <v>9257</v>
      </c>
      <c r="K141" s="120">
        <f>ROUND(J141*(1+$F141),0)</f>
        <v>9320</v>
      </c>
      <c r="L141" s="143">
        <f aca="true" t="shared" si="115" ref="L141:N143">ROUND(I141*$H141,0)</f>
        <v>7355</v>
      </c>
      <c r="M141" s="143">
        <f t="shared" si="115"/>
        <v>7406</v>
      </c>
      <c r="N141" s="143">
        <f t="shared" si="115"/>
        <v>7456</v>
      </c>
      <c r="HL141" s="109"/>
      <c r="HM141" s="109"/>
      <c r="HN141" s="109"/>
      <c r="HO141" s="109"/>
      <c r="HP141" s="109"/>
      <c r="HQ141" s="109"/>
      <c r="HR141" s="109"/>
      <c r="HS141" s="109"/>
      <c r="HT141" s="109"/>
      <c r="HU141" s="109"/>
      <c r="HV141" s="109"/>
      <c r="HW141" s="109"/>
    </row>
    <row r="142" spans="1:231" s="99" customFormat="1" ht="16.5" customHeight="1">
      <c r="A142" s="130">
        <v>620002</v>
      </c>
      <c r="B142" s="120" t="s">
        <v>149</v>
      </c>
      <c r="C142" s="120">
        <v>19394</v>
      </c>
      <c r="D142" s="120">
        <v>16034</v>
      </c>
      <c r="E142" s="120">
        <v>17317</v>
      </c>
      <c r="F142" s="131">
        <f t="shared" si="113"/>
        <v>-0.055063482464665414</v>
      </c>
      <c r="G142" s="120">
        <v>3135</v>
      </c>
      <c r="H142" s="132">
        <v>0.8</v>
      </c>
      <c r="I142" s="120">
        <f t="shared" si="114"/>
        <v>15462</v>
      </c>
      <c r="J142" s="120">
        <f>ROUND(I142*(1+$F142),0)</f>
        <v>14611</v>
      </c>
      <c r="K142" s="120">
        <f>ROUND(J142*(1+$F142),0)</f>
        <v>13806</v>
      </c>
      <c r="L142" s="143">
        <f t="shared" si="115"/>
        <v>12370</v>
      </c>
      <c r="M142" s="143">
        <f t="shared" si="115"/>
        <v>11689</v>
      </c>
      <c r="N142" s="143">
        <f t="shared" si="115"/>
        <v>11045</v>
      </c>
      <c r="HL142" s="109"/>
      <c r="HM142" s="109"/>
      <c r="HN142" s="109"/>
      <c r="HO142" s="109"/>
      <c r="HP142" s="109"/>
      <c r="HQ142" s="109"/>
      <c r="HR142" s="109"/>
      <c r="HS142" s="109"/>
      <c r="HT142" s="109"/>
      <c r="HU142" s="109"/>
      <c r="HV142" s="109"/>
      <c r="HW142" s="109"/>
    </row>
    <row r="143" spans="1:231" s="99" customFormat="1" ht="16.5" customHeight="1">
      <c r="A143" s="130">
        <v>620003</v>
      </c>
      <c r="B143" s="120" t="s">
        <v>150</v>
      </c>
      <c r="C143" s="120">
        <v>6299</v>
      </c>
      <c r="D143" s="120">
        <v>5648</v>
      </c>
      <c r="E143" s="120">
        <v>5806</v>
      </c>
      <c r="F143" s="131">
        <f t="shared" si="113"/>
        <v>-0.03993041475667647</v>
      </c>
      <c r="G143" s="120">
        <v>845</v>
      </c>
      <c r="H143" s="132">
        <v>0.8</v>
      </c>
      <c r="I143" s="120">
        <f t="shared" si="114"/>
        <v>5352</v>
      </c>
      <c r="J143" s="120">
        <f>ROUND(I143*(1+$F143),0)</f>
        <v>5138</v>
      </c>
      <c r="K143" s="120">
        <f>ROUND(J143*(1+$F143),0)</f>
        <v>4933</v>
      </c>
      <c r="L143" s="143">
        <f t="shared" si="115"/>
        <v>4282</v>
      </c>
      <c r="M143" s="143">
        <f t="shared" si="115"/>
        <v>4110</v>
      </c>
      <c r="N143" s="143">
        <f t="shared" si="115"/>
        <v>3946</v>
      </c>
      <c r="HL143" s="109"/>
      <c r="HM143" s="109"/>
      <c r="HN143" s="109"/>
      <c r="HO143" s="109"/>
      <c r="HP143" s="109"/>
      <c r="HQ143" s="109"/>
      <c r="HR143" s="109"/>
      <c r="HS143" s="109"/>
      <c r="HT143" s="109"/>
      <c r="HU143" s="109"/>
      <c r="HV143" s="109"/>
      <c r="HW143" s="109"/>
    </row>
    <row r="144" spans="1:231" s="99" customFormat="1" ht="16.5" customHeight="1">
      <c r="A144" s="130">
        <v>620004</v>
      </c>
      <c r="B144" s="120" t="s">
        <v>151</v>
      </c>
      <c r="C144" s="120">
        <v>44263</v>
      </c>
      <c r="D144" s="120">
        <v>40345</v>
      </c>
      <c r="E144" s="120">
        <v>41163</v>
      </c>
      <c r="F144" s="131">
        <f t="shared" si="113"/>
        <v>-0.0356535485885463</v>
      </c>
      <c r="G144" s="120">
        <v>18242</v>
      </c>
      <c r="H144" s="132">
        <v>0.8</v>
      </c>
      <c r="I144" s="120">
        <f t="shared" si="114"/>
        <v>38280</v>
      </c>
      <c r="J144" s="120">
        <f aca="true" t="shared" si="116" ref="J144:K146">ROUND(I144*(1+$F144),0)</f>
        <v>36915</v>
      </c>
      <c r="K144" s="120">
        <f t="shared" si="116"/>
        <v>35599</v>
      </c>
      <c r="L144" s="143">
        <f aca="true" t="shared" si="117" ref="L144:N146">ROUND(I144*$H144,0)</f>
        <v>30624</v>
      </c>
      <c r="M144" s="143">
        <f t="shared" si="117"/>
        <v>29532</v>
      </c>
      <c r="N144" s="143">
        <f t="shared" si="117"/>
        <v>28479</v>
      </c>
      <c r="HL144" s="109"/>
      <c r="HM144" s="109"/>
      <c r="HN144" s="109"/>
      <c r="HO144" s="109"/>
      <c r="HP144" s="109"/>
      <c r="HQ144" s="109"/>
      <c r="HR144" s="109"/>
      <c r="HS144" s="109"/>
      <c r="HT144" s="109"/>
      <c r="HU144" s="109"/>
      <c r="HV144" s="109"/>
      <c r="HW144" s="109"/>
    </row>
    <row r="145" spans="1:231" s="99" customFormat="1" ht="16.5" customHeight="1">
      <c r="A145" s="130">
        <v>620005</v>
      </c>
      <c r="B145" s="120" t="s">
        <v>152</v>
      </c>
      <c r="C145" s="120">
        <v>9499</v>
      </c>
      <c r="D145" s="120">
        <v>8294</v>
      </c>
      <c r="E145" s="120">
        <v>8226</v>
      </c>
      <c r="F145" s="131">
        <f t="shared" si="113"/>
        <v>-0.06941636955514785</v>
      </c>
      <c r="G145" s="120">
        <v>5938</v>
      </c>
      <c r="H145" s="132">
        <v>0.8</v>
      </c>
      <c r="I145" s="120">
        <f t="shared" si="114"/>
        <v>7124</v>
      </c>
      <c r="J145" s="120">
        <f t="shared" si="116"/>
        <v>6629</v>
      </c>
      <c r="K145" s="120">
        <f t="shared" si="116"/>
        <v>6169</v>
      </c>
      <c r="L145" s="143">
        <f t="shared" si="117"/>
        <v>5699</v>
      </c>
      <c r="M145" s="143">
        <f t="shared" si="117"/>
        <v>5303</v>
      </c>
      <c r="N145" s="143">
        <f t="shared" si="117"/>
        <v>4935</v>
      </c>
      <c r="HL145" s="109"/>
      <c r="HM145" s="109"/>
      <c r="HN145" s="109"/>
      <c r="HO145" s="109"/>
      <c r="HP145" s="109"/>
      <c r="HQ145" s="109"/>
      <c r="HR145" s="109"/>
      <c r="HS145" s="109"/>
      <c r="HT145" s="109"/>
      <c r="HU145" s="109"/>
      <c r="HV145" s="109"/>
      <c r="HW145" s="109"/>
    </row>
    <row r="146" spans="1:231" s="99" customFormat="1" ht="16.5" customHeight="1">
      <c r="A146" s="130">
        <v>620006</v>
      </c>
      <c r="B146" s="120" t="s">
        <v>153</v>
      </c>
      <c r="C146" s="120">
        <v>21071</v>
      </c>
      <c r="D146" s="120">
        <v>18738</v>
      </c>
      <c r="E146" s="120">
        <v>17970</v>
      </c>
      <c r="F146" s="131">
        <f t="shared" si="113"/>
        <v>-0.07651155663140174</v>
      </c>
      <c r="G146" s="120">
        <v>142</v>
      </c>
      <c r="H146" s="132">
        <v>0.8</v>
      </c>
      <c r="I146" s="120">
        <f t="shared" si="114"/>
        <v>15325</v>
      </c>
      <c r="J146" s="120">
        <f t="shared" si="116"/>
        <v>14152</v>
      </c>
      <c r="K146" s="120">
        <f t="shared" si="116"/>
        <v>13069</v>
      </c>
      <c r="L146" s="143">
        <f t="shared" si="117"/>
        <v>12260</v>
      </c>
      <c r="M146" s="143">
        <f t="shared" si="117"/>
        <v>11322</v>
      </c>
      <c r="N146" s="143">
        <f t="shared" si="117"/>
        <v>10455</v>
      </c>
      <c r="HL146" s="109"/>
      <c r="HM146" s="109"/>
      <c r="HN146" s="109"/>
      <c r="HO146" s="109"/>
      <c r="HP146" s="109"/>
      <c r="HQ146" s="109"/>
      <c r="HR146" s="109"/>
      <c r="HS146" s="109"/>
      <c r="HT146" s="109"/>
      <c r="HU146" s="109"/>
      <c r="HV146" s="109"/>
      <c r="HW146" s="109"/>
    </row>
    <row r="147" spans="1:14" s="106" customFormat="1" ht="16.5" customHeight="1">
      <c r="A147" s="115">
        <v>621</v>
      </c>
      <c r="B147" s="116" t="s">
        <v>154</v>
      </c>
      <c r="C147" s="116">
        <f aca="true" t="shared" si="118" ref="C147:G147">SUM(C148:C153)</f>
        <v>49019</v>
      </c>
      <c r="D147" s="116">
        <f t="shared" si="118"/>
        <v>34789</v>
      </c>
      <c r="E147" s="116">
        <f t="shared" si="118"/>
        <v>32108</v>
      </c>
      <c r="F147" s="116"/>
      <c r="G147" s="116">
        <f t="shared" si="118"/>
        <v>19309</v>
      </c>
      <c r="H147" s="122"/>
      <c r="I147" s="116">
        <f aca="true" t="shared" si="119" ref="I147:N147">SUM(I148:I153)</f>
        <v>32108</v>
      </c>
      <c r="J147" s="116">
        <f t="shared" si="119"/>
        <v>32108</v>
      </c>
      <c r="K147" s="116">
        <f t="shared" si="119"/>
        <v>32108</v>
      </c>
      <c r="L147" s="145">
        <f t="shared" si="119"/>
        <v>25687</v>
      </c>
      <c r="M147" s="145">
        <f t="shared" si="119"/>
        <v>25687</v>
      </c>
      <c r="N147" s="145">
        <f t="shared" si="119"/>
        <v>25687</v>
      </c>
    </row>
    <row r="148" spans="1:14" s="99" customFormat="1" ht="16.5" customHeight="1">
      <c r="A148" s="130">
        <v>621001</v>
      </c>
      <c r="B148" s="120" t="s">
        <v>155</v>
      </c>
      <c r="C148" s="120"/>
      <c r="D148" s="120"/>
      <c r="E148" s="120"/>
      <c r="F148" s="131"/>
      <c r="G148" s="120"/>
      <c r="H148" s="122"/>
      <c r="I148" s="120">
        <f>ROUND(C148*(1+$F148),0)</f>
        <v>0</v>
      </c>
      <c r="J148" s="120">
        <f>ROUND(D148*(1+$F148),0)</f>
        <v>0</v>
      </c>
      <c r="K148" s="120">
        <f>ROUND(E148*(1+$F148),0)</f>
        <v>0</v>
      </c>
      <c r="L148" s="143">
        <f aca="true" t="shared" si="120" ref="L148:N153">ROUND(I148*$H148,0)</f>
        <v>0</v>
      </c>
      <c r="M148" s="143">
        <f t="shared" si="120"/>
        <v>0</v>
      </c>
      <c r="N148" s="143">
        <f t="shared" si="120"/>
        <v>0</v>
      </c>
    </row>
    <row r="149" spans="1:231" s="99" customFormat="1" ht="16.5" customHeight="1">
      <c r="A149" s="130">
        <v>621002</v>
      </c>
      <c r="B149" s="120" t="s">
        <v>156</v>
      </c>
      <c r="C149" s="120">
        <v>6223</v>
      </c>
      <c r="D149" s="120">
        <v>5007</v>
      </c>
      <c r="E149" s="120">
        <v>4395</v>
      </c>
      <c r="F149" s="131">
        <f aca="true" t="shared" si="121" ref="F149:F153">(E149/C149)^(1/2)-1</f>
        <v>-0.159612586756118</v>
      </c>
      <c r="G149" s="120">
        <v>4868</v>
      </c>
      <c r="H149" s="132">
        <v>0.8</v>
      </c>
      <c r="I149" s="136">
        <v>4395</v>
      </c>
      <c r="J149" s="136">
        <v>4395</v>
      </c>
      <c r="K149" s="136">
        <v>4395</v>
      </c>
      <c r="L149" s="143">
        <f aca="true" t="shared" si="122" ref="L149:N149">ROUND(I149*$H149,0)</f>
        <v>3516</v>
      </c>
      <c r="M149" s="143">
        <f t="shared" si="122"/>
        <v>3516</v>
      </c>
      <c r="N149" s="143">
        <f t="shared" si="122"/>
        <v>3516</v>
      </c>
      <c r="HL149" s="109"/>
      <c r="HM149" s="109"/>
      <c r="HN149" s="109"/>
      <c r="HO149" s="109"/>
      <c r="HP149" s="109"/>
      <c r="HQ149" s="109"/>
      <c r="HR149" s="109"/>
      <c r="HS149" s="109"/>
      <c r="HT149" s="109"/>
      <c r="HU149" s="109"/>
      <c r="HV149" s="109"/>
      <c r="HW149" s="109"/>
    </row>
    <row r="150" spans="1:231" s="99" customFormat="1" ht="16.5" customHeight="1">
      <c r="A150" s="130">
        <v>621003</v>
      </c>
      <c r="B150" s="120" t="s">
        <v>157</v>
      </c>
      <c r="C150" s="120">
        <v>20910</v>
      </c>
      <c r="D150" s="120">
        <v>12123</v>
      </c>
      <c r="E150" s="120">
        <v>11625</v>
      </c>
      <c r="F150" s="131">
        <f t="shared" si="121"/>
        <v>-0.25437671109825555</v>
      </c>
      <c r="G150" s="120">
        <v>8274</v>
      </c>
      <c r="H150" s="132">
        <v>0.8</v>
      </c>
      <c r="I150" s="136">
        <v>11625</v>
      </c>
      <c r="J150" s="136">
        <v>11625</v>
      </c>
      <c r="K150" s="136">
        <v>11625</v>
      </c>
      <c r="L150" s="143">
        <f aca="true" t="shared" si="123" ref="L150:N151">ROUND(I150*$H150,0)</f>
        <v>9300</v>
      </c>
      <c r="M150" s="143">
        <f t="shared" si="123"/>
        <v>9300</v>
      </c>
      <c r="N150" s="143">
        <f t="shared" si="123"/>
        <v>9300</v>
      </c>
      <c r="HL150" s="109"/>
      <c r="HM150" s="109"/>
      <c r="HN150" s="109"/>
      <c r="HO150" s="109"/>
      <c r="HP150" s="109"/>
      <c r="HQ150" s="109"/>
      <c r="HR150" s="109"/>
      <c r="HS150" s="109"/>
      <c r="HT150" s="109"/>
      <c r="HU150" s="109"/>
      <c r="HV150" s="109"/>
      <c r="HW150" s="109"/>
    </row>
    <row r="151" spans="1:231" s="99" customFormat="1" ht="16.5" customHeight="1">
      <c r="A151" s="130">
        <v>621004</v>
      </c>
      <c r="B151" s="120" t="s">
        <v>158</v>
      </c>
      <c r="C151" s="120">
        <v>7623</v>
      </c>
      <c r="D151" s="120">
        <v>5735</v>
      </c>
      <c r="E151" s="120">
        <v>5217</v>
      </c>
      <c r="F151" s="131">
        <f t="shared" si="121"/>
        <v>-0.17272965130449935</v>
      </c>
      <c r="G151" s="120">
        <v>3256</v>
      </c>
      <c r="H151" s="132">
        <v>0.8</v>
      </c>
      <c r="I151" s="136">
        <v>5217</v>
      </c>
      <c r="J151" s="136">
        <v>5217</v>
      </c>
      <c r="K151" s="136">
        <v>5217</v>
      </c>
      <c r="L151" s="143">
        <f t="shared" si="123"/>
        <v>4174</v>
      </c>
      <c r="M151" s="143">
        <f t="shared" si="123"/>
        <v>4174</v>
      </c>
      <c r="N151" s="143">
        <f t="shared" si="123"/>
        <v>4174</v>
      </c>
      <c r="HL151" s="109"/>
      <c r="HM151" s="109"/>
      <c r="HN151" s="109"/>
      <c r="HO151" s="109"/>
      <c r="HP151" s="109"/>
      <c r="HQ151" s="109"/>
      <c r="HR151" s="109"/>
      <c r="HS151" s="109"/>
      <c r="HT151" s="109"/>
      <c r="HU151" s="109"/>
      <c r="HV151" s="109"/>
      <c r="HW151" s="109"/>
    </row>
    <row r="152" spans="1:231" s="99" customFormat="1" ht="16.5" customHeight="1">
      <c r="A152" s="130">
        <v>621005</v>
      </c>
      <c r="B152" s="120" t="s">
        <v>159</v>
      </c>
      <c r="C152" s="120">
        <v>8168</v>
      </c>
      <c r="D152" s="120">
        <v>7217</v>
      </c>
      <c r="E152" s="120">
        <v>6799</v>
      </c>
      <c r="F152" s="131">
        <f t="shared" si="121"/>
        <v>-0.0876433202592416</v>
      </c>
      <c r="G152" s="120">
        <v>2400</v>
      </c>
      <c r="H152" s="132">
        <v>0.8</v>
      </c>
      <c r="I152" s="136">
        <v>6799</v>
      </c>
      <c r="J152" s="136">
        <v>6799</v>
      </c>
      <c r="K152" s="136">
        <v>6799</v>
      </c>
      <c r="L152" s="143">
        <f t="shared" si="120"/>
        <v>5439</v>
      </c>
      <c r="M152" s="143">
        <f t="shared" si="120"/>
        <v>5439</v>
      </c>
      <c r="N152" s="143">
        <f t="shared" si="120"/>
        <v>5439</v>
      </c>
      <c r="HL152" s="109"/>
      <c r="HM152" s="109"/>
      <c r="HN152" s="109"/>
      <c r="HO152" s="109"/>
      <c r="HP152" s="109"/>
      <c r="HQ152" s="109"/>
      <c r="HR152" s="109"/>
      <c r="HS152" s="109"/>
      <c r="HT152" s="109"/>
      <c r="HU152" s="109"/>
      <c r="HV152" s="109"/>
      <c r="HW152" s="109"/>
    </row>
    <row r="153" spans="1:231" s="99" customFormat="1" ht="16.5" customHeight="1">
      <c r="A153" s="130">
        <v>621006</v>
      </c>
      <c r="B153" s="120" t="s">
        <v>160</v>
      </c>
      <c r="C153" s="120">
        <v>6095</v>
      </c>
      <c r="D153" s="120">
        <v>4707</v>
      </c>
      <c r="E153" s="120">
        <v>4072</v>
      </c>
      <c r="F153" s="131">
        <f t="shared" si="121"/>
        <v>-0.18263313181238583</v>
      </c>
      <c r="G153" s="120">
        <v>511</v>
      </c>
      <c r="H153" s="132">
        <v>0.8</v>
      </c>
      <c r="I153" s="136">
        <v>4072</v>
      </c>
      <c r="J153" s="136">
        <v>4072</v>
      </c>
      <c r="K153" s="136">
        <v>4072</v>
      </c>
      <c r="L153" s="143">
        <f t="shared" si="120"/>
        <v>3258</v>
      </c>
      <c r="M153" s="143">
        <f t="shared" si="120"/>
        <v>3258</v>
      </c>
      <c r="N153" s="143">
        <f t="shared" si="120"/>
        <v>3258</v>
      </c>
      <c r="HL153" s="109"/>
      <c r="HM153" s="109"/>
      <c r="HN153" s="109"/>
      <c r="HO153" s="109"/>
      <c r="HP153" s="109"/>
      <c r="HQ153" s="109"/>
      <c r="HR153" s="109"/>
      <c r="HS153" s="109"/>
      <c r="HT153" s="109"/>
      <c r="HU153" s="109"/>
      <c r="HV153" s="109"/>
      <c r="HW153" s="109"/>
    </row>
    <row r="154" spans="2:11" s="99" customFormat="1" ht="15" customHeight="1">
      <c r="B154" s="110"/>
      <c r="C154" s="110"/>
      <c r="D154" s="110"/>
      <c r="E154" s="110"/>
      <c r="F154" s="111"/>
      <c r="G154" s="111"/>
      <c r="H154" s="112"/>
      <c r="I154" s="110"/>
      <c r="J154" s="110"/>
      <c r="K154" s="110"/>
    </row>
    <row r="155" spans="2:11" s="99" customFormat="1" ht="15" customHeight="1">
      <c r="B155" s="110"/>
      <c r="C155" s="110"/>
      <c r="D155" s="110"/>
      <c r="E155" s="110"/>
      <c r="F155" s="111"/>
      <c r="G155" s="111"/>
      <c r="H155" s="112"/>
      <c r="I155" s="110"/>
      <c r="J155" s="110"/>
      <c r="K155" s="110"/>
    </row>
    <row r="156" spans="2:11" s="99" customFormat="1" ht="15" customHeight="1">
      <c r="B156" s="110"/>
      <c r="C156" s="110"/>
      <c r="D156" s="110"/>
      <c r="E156" s="110"/>
      <c r="F156" s="111"/>
      <c r="G156" s="111"/>
      <c r="H156" s="112"/>
      <c r="I156" s="110"/>
      <c r="J156" s="110"/>
      <c r="K156" s="110"/>
    </row>
    <row r="157" spans="2:11" s="99" customFormat="1" ht="15" customHeight="1">
      <c r="B157" s="110"/>
      <c r="C157" s="110"/>
      <c r="D157" s="110"/>
      <c r="E157" s="110"/>
      <c r="F157" s="111"/>
      <c r="G157" s="111"/>
      <c r="H157" s="112"/>
      <c r="I157" s="110"/>
      <c r="J157" s="110"/>
      <c r="K157" s="110"/>
    </row>
    <row r="158" spans="2:11" s="99" customFormat="1" ht="15" customHeight="1">
      <c r="B158" s="110"/>
      <c r="C158" s="110"/>
      <c r="D158" s="110"/>
      <c r="E158" s="110"/>
      <c r="F158" s="111"/>
      <c r="G158" s="111"/>
      <c r="H158" s="112"/>
      <c r="I158" s="110"/>
      <c r="J158" s="110"/>
      <c r="K158" s="110"/>
    </row>
    <row r="159" spans="2:11" s="99" customFormat="1" ht="15" customHeight="1">
      <c r="B159" s="110"/>
      <c r="C159" s="110"/>
      <c r="D159" s="110"/>
      <c r="E159" s="110"/>
      <c r="F159" s="111"/>
      <c r="G159" s="111"/>
      <c r="H159" s="112"/>
      <c r="I159" s="110"/>
      <c r="J159" s="110"/>
      <c r="K159" s="110"/>
    </row>
    <row r="160" spans="2:11" s="99" customFormat="1" ht="15" customHeight="1">
      <c r="B160" s="110"/>
      <c r="C160" s="110"/>
      <c r="D160" s="110"/>
      <c r="E160" s="110"/>
      <c r="F160" s="111"/>
      <c r="G160" s="111"/>
      <c r="H160" s="112"/>
      <c r="I160" s="110"/>
      <c r="J160" s="110"/>
      <c r="K160" s="110"/>
    </row>
    <row r="161" spans="2:11" s="99" customFormat="1" ht="15" customHeight="1">
      <c r="B161" s="110"/>
      <c r="C161" s="110"/>
      <c r="D161" s="110"/>
      <c r="E161" s="110"/>
      <c r="F161" s="111"/>
      <c r="G161" s="111"/>
      <c r="H161" s="112"/>
      <c r="I161" s="110"/>
      <c r="J161" s="110"/>
      <c r="K161" s="110"/>
    </row>
    <row r="162" spans="2:11" s="99" customFormat="1" ht="15" customHeight="1">
      <c r="B162" s="110"/>
      <c r="C162" s="110"/>
      <c r="D162" s="110"/>
      <c r="E162" s="110"/>
      <c r="F162" s="111"/>
      <c r="G162" s="111"/>
      <c r="H162" s="112"/>
      <c r="I162" s="110"/>
      <c r="J162" s="110"/>
      <c r="K162" s="110"/>
    </row>
    <row r="163" spans="2:11" s="99" customFormat="1" ht="15" customHeight="1">
      <c r="B163" s="110"/>
      <c r="C163" s="110"/>
      <c r="D163" s="110"/>
      <c r="E163" s="110"/>
      <c r="F163" s="111"/>
      <c r="G163" s="111"/>
      <c r="H163" s="112"/>
      <c r="I163" s="110"/>
      <c r="J163" s="110"/>
      <c r="K163" s="110"/>
    </row>
    <row r="164" spans="2:11" s="99" customFormat="1" ht="15" customHeight="1">
      <c r="B164" s="110"/>
      <c r="C164" s="110"/>
      <c r="D164" s="110"/>
      <c r="E164" s="110"/>
      <c r="F164" s="111"/>
      <c r="G164" s="111"/>
      <c r="H164" s="112"/>
      <c r="I164" s="110"/>
      <c r="J164" s="110"/>
      <c r="K164" s="110"/>
    </row>
    <row r="165" spans="2:11" s="99" customFormat="1" ht="15" customHeight="1">
      <c r="B165" s="110"/>
      <c r="C165" s="110"/>
      <c r="D165" s="110"/>
      <c r="E165" s="110"/>
      <c r="F165" s="111"/>
      <c r="G165" s="111"/>
      <c r="H165" s="112"/>
      <c r="I165" s="110"/>
      <c r="J165" s="110"/>
      <c r="K165" s="110"/>
    </row>
    <row r="166" spans="2:11" s="99" customFormat="1" ht="15" customHeight="1">
      <c r="B166" s="110"/>
      <c r="C166" s="110"/>
      <c r="D166" s="110"/>
      <c r="E166" s="110"/>
      <c r="F166" s="111"/>
      <c r="G166" s="111"/>
      <c r="H166" s="112"/>
      <c r="I166" s="110"/>
      <c r="J166" s="110"/>
      <c r="K166" s="110"/>
    </row>
    <row r="167" spans="2:11" s="99" customFormat="1" ht="15" customHeight="1">
      <c r="B167" s="110"/>
      <c r="C167" s="110"/>
      <c r="D167" s="110"/>
      <c r="E167" s="110"/>
      <c r="F167" s="111"/>
      <c r="G167" s="111"/>
      <c r="H167" s="112"/>
      <c r="I167" s="110"/>
      <c r="J167" s="110"/>
      <c r="K167" s="110"/>
    </row>
    <row r="168" spans="2:11" s="99" customFormat="1" ht="15" customHeight="1">
      <c r="B168" s="110"/>
      <c r="C168" s="110"/>
      <c r="D168" s="110"/>
      <c r="E168" s="110"/>
      <c r="F168" s="111"/>
      <c r="G168" s="111"/>
      <c r="H168" s="112"/>
      <c r="I168" s="110"/>
      <c r="J168" s="110"/>
      <c r="K168" s="110"/>
    </row>
    <row r="169" spans="2:11" s="99" customFormat="1" ht="15" customHeight="1">
      <c r="B169" s="110"/>
      <c r="C169" s="110"/>
      <c r="D169" s="110"/>
      <c r="E169" s="110"/>
      <c r="F169" s="111"/>
      <c r="G169" s="111"/>
      <c r="H169" s="112"/>
      <c r="I169" s="110"/>
      <c r="J169" s="110"/>
      <c r="K169" s="110"/>
    </row>
    <row r="170" spans="2:11" s="99" customFormat="1" ht="15" customHeight="1">
      <c r="B170" s="110"/>
      <c r="C170" s="110"/>
      <c r="D170" s="110"/>
      <c r="E170" s="110"/>
      <c r="F170" s="111"/>
      <c r="G170" s="111"/>
      <c r="H170" s="112"/>
      <c r="I170" s="110"/>
      <c r="J170" s="110"/>
      <c r="K170" s="110"/>
    </row>
    <row r="171" spans="2:11" s="99" customFormat="1" ht="15" customHeight="1">
      <c r="B171" s="110"/>
      <c r="C171" s="110"/>
      <c r="D171" s="110"/>
      <c r="E171" s="110"/>
      <c r="F171" s="111"/>
      <c r="G171" s="111"/>
      <c r="H171" s="112"/>
      <c r="I171" s="110"/>
      <c r="J171" s="110"/>
      <c r="K171" s="110"/>
    </row>
    <row r="172" spans="2:11" s="99" customFormat="1" ht="15" customHeight="1">
      <c r="B172" s="110"/>
      <c r="C172" s="110"/>
      <c r="D172" s="110"/>
      <c r="E172" s="110"/>
      <c r="F172" s="111"/>
      <c r="G172" s="111"/>
      <c r="H172" s="112"/>
      <c r="I172" s="110"/>
      <c r="J172" s="110"/>
      <c r="K172" s="110"/>
    </row>
    <row r="173" spans="2:11" s="99" customFormat="1" ht="15" customHeight="1">
      <c r="B173" s="110"/>
      <c r="C173" s="110"/>
      <c r="D173" s="110"/>
      <c r="E173" s="110"/>
      <c r="F173" s="111"/>
      <c r="G173" s="111"/>
      <c r="H173" s="112"/>
      <c r="I173" s="110"/>
      <c r="J173" s="110"/>
      <c r="K173" s="110"/>
    </row>
    <row r="174" spans="2:11" s="99" customFormat="1" ht="15" customHeight="1">
      <c r="B174" s="110"/>
      <c r="C174" s="110"/>
      <c r="D174" s="110"/>
      <c r="E174" s="110"/>
      <c r="F174" s="111"/>
      <c r="G174" s="111"/>
      <c r="H174" s="112"/>
      <c r="I174" s="110"/>
      <c r="J174" s="110"/>
      <c r="K174" s="110"/>
    </row>
    <row r="175" spans="2:11" s="99" customFormat="1" ht="15" customHeight="1">
      <c r="B175" s="110"/>
      <c r="C175" s="110"/>
      <c r="D175" s="110"/>
      <c r="E175" s="110"/>
      <c r="F175" s="111"/>
      <c r="G175" s="111"/>
      <c r="H175" s="112"/>
      <c r="I175" s="110"/>
      <c r="J175" s="110"/>
      <c r="K175" s="110"/>
    </row>
    <row r="176" spans="2:11" s="99" customFormat="1" ht="15" customHeight="1">
      <c r="B176" s="110"/>
      <c r="C176" s="110"/>
      <c r="D176" s="110"/>
      <c r="E176" s="110"/>
      <c r="F176" s="111"/>
      <c r="G176" s="111"/>
      <c r="H176" s="112"/>
      <c r="I176" s="110"/>
      <c r="J176" s="110"/>
      <c r="K176" s="110"/>
    </row>
    <row r="177" spans="2:11" s="99" customFormat="1" ht="15" customHeight="1">
      <c r="B177" s="110"/>
      <c r="C177" s="110"/>
      <c r="D177" s="110"/>
      <c r="E177" s="110"/>
      <c r="F177" s="111"/>
      <c r="G177" s="111"/>
      <c r="H177" s="112"/>
      <c r="I177" s="110"/>
      <c r="J177" s="110"/>
      <c r="K177" s="110"/>
    </row>
    <row r="178" spans="2:11" s="99" customFormat="1" ht="15" customHeight="1">
      <c r="B178" s="110"/>
      <c r="C178" s="110"/>
      <c r="D178" s="110"/>
      <c r="E178" s="110"/>
      <c r="F178" s="111"/>
      <c r="G178" s="111"/>
      <c r="H178" s="112"/>
      <c r="I178" s="110"/>
      <c r="J178" s="110"/>
      <c r="K178" s="110"/>
    </row>
    <row r="179" spans="2:11" s="99" customFormat="1" ht="15" customHeight="1">
      <c r="B179" s="110"/>
      <c r="C179" s="110"/>
      <c r="D179" s="110"/>
      <c r="E179" s="110"/>
      <c r="F179" s="111"/>
      <c r="G179" s="111"/>
      <c r="H179" s="112"/>
      <c r="I179" s="110"/>
      <c r="J179" s="110"/>
      <c r="K179" s="110"/>
    </row>
    <row r="180" spans="2:11" s="99" customFormat="1" ht="15" customHeight="1">
      <c r="B180" s="110"/>
      <c r="C180" s="110"/>
      <c r="D180" s="110"/>
      <c r="E180" s="110"/>
      <c r="F180" s="111"/>
      <c r="G180" s="111"/>
      <c r="H180" s="112"/>
      <c r="I180" s="110"/>
      <c r="J180" s="110"/>
      <c r="K180" s="110"/>
    </row>
    <row r="181" spans="2:11" s="99" customFormat="1" ht="15" customHeight="1">
      <c r="B181" s="110"/>
      <c r="C181" s="110"/>
      <c r="D181" s="110"/>
      <c r="E181" s="110"/>
      <c r="F181" s="111"/>
      <c r="G181" s="111"/>
      <c r="H181" s="112"/>
      <c r="I181" s="110"/>
      <c r="J181" s="110"/>
      <c r="K181" s="110"/>
    </row>
    <row r="182" spans="2:11" s="99" customFormat="1" ht="15" customHeight="1">
      <c r="B182" s="110"/>
      <c r="C182" s="110"/>
      <c r="D182" s="110"/>
      <c r="E182" s="110"/>
      <c r="F182" s="111"/>
      <c r="G182" s="111"/>
      <c r="H182" s="112"/>
      <c r="I182" s="110"/>
      <c r="J182" s="110"/>
      <c r="K182" s="110"/>
    </row>
    <row r="183" spans="2:11" s="99" customFormat="1" ht="15" customHeight="1">
      <c r="B183" s="110"/>
      <c r="C183" s="110"/>
      <c r="D183" s="110"/>
      <c r="E183" s="110"/>
      <c r="F183" s="111"/>
      <c r="G183" s="111"/>
      <c r="H183" s="112"/>
      <c r="I183" s="110"/>
      <c r="J183" s="110"/>
      <c r="K183" s="110"/>
    </row>
    <row r="184" spans="2:11" s="99" customFormat="1" ht="15" customHeight="1">
      <c r="B184" s="110"/>
      <c r="C184" s="110"/>
      <c r="D184" s="110"/>
      <c r="E184" s="110"/>
      <c r="F184" s="111"/>
      <c r="G184" s="111"/>
      <c r="H184" s="112"/>
      <c r="I184" s="110"/>
      <c r="J184" s="110"/>
      <c r="K184" s="110"/>
    </row>
    <row r="185" spans="2:11" s="99" customFormat="1" ht="15" customHeight="1">
      <c r="B185" s="110"/>
      <c r="C185" s="110"/>
      <c r="D185" s="110"/>
      <c r="E185" s="110"/>
      <c r="F185" s="111"/>
      <c r="G185" s="111"/>
      <c r="H185" s="112"/>
      <c r="I185" s="110"/>
      <c r="J185" s="110"/>
      <c r="K185" s="110"/>
    </row>
    <row r="186" spans="2:11" s="99" customFormat="1" ht="15" customHeight="1">
      <c r="B186" s="110"/>
      <c r="C186" s="110"/>
      <c r="D186" s="110"/>
      <c r="E186" s="110"/>
      <c r="F186" s="111"/>
      <c r="G186" s="111"/>
      <c r="H186" s="112"/>
      <c r="I186" s="110"/>
      <c r="J186" s="110"/>
      <c r="K186" s="110"/>
    </row>
    <row r="187" spans="2:11" s="99" customFormat="1" ht="15" customHeight="1">
      <c r="B187" s="110"/>
      <c r="C187" s="110"/>
      <c r="D187" s="110"/>
      <c r="E187" s="110"/>
      <c r="F187" s="111"/>
      <c r="G187" s="111"/>
      <c r="H187" s="112"/>
      <c r="I187" s="110"/>
      <c r="J187" s="110"/>
      <c r="K187" s="110"/>
    </row>
    <row r="188" spans="2:11" s="99" customFormat="1" ht="15" customHeight="1">
      <c r="B188" s="110"/>
      <c r="C188" s="110"/>
      <c r="D188" s="110"/>
      <c r="E188" s="110"/>
      <c r="F188" s="111"/>
      <c r="G188" s="111"/>
      <c r="H188" s="112"/>
      <c r="I188" s="110"/>
      <c r="J188" s="110"/>
      <c r="K188" s="110"/>
    </row>
    <row r="189" spans="2:11" s="99" customFormat="1" ht="15" customHeight="1">
      <c r="B189" s="110"/>
      <c r="C189" s="110"/>
      <c r="D189" s="110"/>
      <c r="E189" s="110"/>
      <c r="F189" s="111"/>
      <c r="G189" s="111"/>
      <c r="H189" s="112"/>
      <c r="I189" s="110"/>
      <c r="J189" s="110"/>
      <c r="K189" s="110"/>
    </row>
    <row r="190" spans="2:11" s="99" customFormat="1" ht="15" customHeight="1">
      <c r="B190" s="110"/>
      <c r="C190" s="110"/>
      <c r="D190" s="110"/>
      <c r="E190" s="110"/>
      <c r="F190" s="111"/>
      <c r="G190" s="111"/>
      <c r="H190" s="112"/>
      <c r="I190" s="110"/>
      <c r="J190" s="110"/>
      <c r="K190" s="110"/>
    </row>
    <row r="191" spans="2:11" s="99" customFormat="1" ht="15" customHeight="1">
      <c r="B191" s="110"/>
      <c r="C191" s="110"/>
      <c r="D191" s="110"/>
      <c r="E191" s="110"/>
      <c r="F191" s="111"/>
      <c r="G191" s="111"/>
      <c r="H191" s="112"/>
      <c r="I191" s="110"/>
      <c r="J191" s="110"/>
      <c r="K191" s="110"/>
    </row>
    <row r="192" spans="2:11" s="99" customFormat="1" ht="15" customHeight="1">
      <c r="B192" s="110"/>
      <c r="C192" s="110"/>
      <c r="D192" s="110"/>
      <c r="E192" s="110"/>
      <c r="F192" s="111"/>
      <c r="G192" s="111"/>
      <c r="H192" s="112"/>
      <c r="I192" s="110"/>
      <c r="J192" s="110"/>
      <c r="K192" s="110"/>
    </row>
    <row r="193" spans="2:11" s="99" customFormat="1" ht="15" customHeight="1">
      <c r="B193" s="110"/>
      <c r="C193" s="110"/>
      <c r="D193" s="110"/>
      <c r="E193" s="110"/>
      <c r="F193" s="111"/>
      <c r="G193" s="111"/>
      <c r="H193" s="112"/>
      <c r="I193" s="110"/>
      <c r="J193" s="110"/>
      <c r="K193" s="110"/>
    </row>
    <row r="194" spans="2:11" s="99" customFormat="1" ht="15" customHeight="1">
      <c r="B194" s="110"/>
      <c r="C194" s="110"/>
      <c r="D194" s="110"/>
      <c r="E194" s="110"/>
      <c r="F194" s="111"/>
      <c r="G194" s="111"/>
      <c r="H194" s="112"/>
      <c r="I194" s="110"/>
      <c r="J194" s="110"/>
      <c r="K194" s="110"/>
    </row>
    <row r="195" spans="2:11" s="99" customFormat="1" ht="15" customHeight="1">
      <c r="B195" s="110"/>
      <c r="C195" s="110"/>
      <c r="D195" s="110"/>
      <c r="E195" s="110"/>
      <c r="F195" s="111"/>
      <c r="G195" s="111"/>
      <c r="H195" s="112"/>
      <c r="I195" s="110"/>
      <c r="J195" s="110"/>
      <c r="K195" s="110"/>
    </row>
    <row r="196" spans="2:11" s="99" customFormat="1" ht="15" customHeight="1">
      <c r="B196" s="110"/>
      <c r="C196" s="110"/>
      <c r="D196" s="110"/>
      <c r="E196" s="110"/>
      <c r="F196" s="111"/>
      <c r="G196" s="111"/>
      <c r="H196" s="112"/>
      <c r="I196" s="110"/>
      <c r="J196" s="110"/>
      <c r="K196" s="110"/>
    </row>
    <row r="197" spans="2:11" s="99" customFormat="1" ht="15" customHeight="1">
      <c r="B197" s="110"/>
      <c r="C197" s="110"/>
      <c r="D197" s="110"/>
      <c r="E197" s="110"/>
      <c r="F197" s="111"/>
      <c r="G197" s="111"/>
      <c r="H197" s="112"/>
      <c r="I197" s="110"/>
      <c r="J197" s="110"/>
      <c r="K197" s="110"/>
    </row>
    <row r="198" spans="2:11" s="99" customFormat="1" ht="15" customHeight="1">
      <c r="B198" s="110"/>
      <c r="C198" s="110"/>
      <c r="D198" s="110"/>
      <c r="E198" s="110"/>
      <c r="F198" s="111"/>
      <c r="G198" s="111"/>
      <c r="H198" s="112"/>
      <c r="I198" s="110"/>
      <c r="J198" s="110"/>
      <c r="K198" s="110"/>
    </row>
    <row r="199" spans="2:11" s="99" customFormat="1" ht="15" customHeight="1">
      <c r="B199" s="110"/>
      <c r="C199" s="110"/>
      <c r="D199" s="110"/>
      <c r="E199" s="110"/>
      <c r="F199" s="111"/>
      <c r="G199" s="111"/>
      <c r="H199" s="112"/>
      <c r="I199" s="110"/>
      <c r="J199" s="110"/>
      <c r="K199" s="110"/>
    </row>
    <row r="200" spans="2:11" s="99" customFormat="1" ht="15" customHeight="1">
      <c r="B200" s="110"/>
      <c r="C200" s="110"/>
      <c r="D200" s="110"/>
      <c r="E200" s="110"/>
      <c r="F200" s="111"/>
      <c r="G200" s="111"/>
      <c r="H200" s="112"/>
      <c r="I200" s="110"/>
      <c r="J200" s="110"/>
      <c r="K200" s="110"/>
    </row>
    <row r="201" spans="2:11" s="99" customFormat="1" ht="15" customHeight="1">
      <c r="B201" s="110"/>
      <c r="C201" s="110"/>
      <c r="D201" s="110"/>
      <c r="E201" s="110"/>
      <c r="F201" s="111"/>
      <c r="G201" s="111"/>
      <c r="H201" s="112"/>
      <c r="I201" s="110"/>
      <c r="J201" s="110"/>
      <c r="K201" s="110"/>
    </row>
    <row r="202" spans="2:11" s="99" customFormat="1" ht="15" customHeight="1">
      <c r="B202" s="110"/>
      <c r="C202" s="110"/>
      <c r="D202" s="110"/>
      <c r="E202" s="110"/>
      <c r="F202" s="111"/>
      <c r="G202" s="111"/>
      <c r="H202" s="112"/>
      <c r="I202" s="110"/>
      <c r="J202" s="110"/>
      <c r="K202" s="110"/>
    </row>
    <row r="203" spans="2:11" s="99" customFormat="1" ht="15" customHeight="1">
      <c r="B203" s="110"/>
      <c r="C203" s="110"/>
      <c r="D203" s="110"/>
      <c r="E203" s="110"/>
      <c r="F203" s="111"/>
      <c r="G203" s="111"/>
      <c r="H203" s="112"/>
      <c r="I203" s="110"/>
      <c r="J203" s="110"/>
      <c r="K203" s="110"/>
    </row>
    <row r="204" spans="2:11" s="99" customFormat="1" ht="15" customHeight="1">
      <c r="B204" s="110"/>
      <c r="C204" s="110"/>
      <c r="D204" s="110"/>
      <c r="E204" s="110"/>
      <c r="F204" s="111"/>
      <c r="G204" s="111"/>
      <c r="H204" s="112"/>
      <c r="I204" s="110"/>
      <c r="J204" s="110"/>
      <c r="K204" s="110"/>
    </row>
    <row r="205" spans="2:11" s="99" customFormat="1" ht="15" customHeight="1">
      <c r="B205" s="110"/>
      <c r="C205" s="110"/>
      <c r="D205" s="110"/>
      <c r="E205" s="110"/>
      <c r="F205" s="111"/>
      <c r="G205" s="111"/>
      <c r="H205" s="112"/>
      <c r="I205" s="110"/>
      <c r="J205" s="110"/>
      <c r="K205" s="110"/>
    </row>
    <row r="206" spans="2:11" s="99" customFormat="1" ht="15" customHeight="1">
      <c r="B206" s="110"/>
      <c r="C206" s="110"/>
      <c r="D206" s="110"/>
      <c r="E206" s="110"/>
      <c r="F206" s="111"/>
      <c r="G206" s="111"/>
      <c r="H206" s="112"/>
      <c r="I206" s="110"/>
      <c r="J206" s="110"/>
      <c r="K206" s="110"/>
    </row>
    <row r="207" spans="2:11" s="99" customFormat="1" ht="15" customHeight="1">
      <c r="B207" s="110"/>
      <c r="C207" s="110"/>
      <c r="D207" s="110"/>
      <c r="E207" s="110"/>
      <c r="F207" s="111"/>
      <c r="G207" s="111"/>
      <c r="H207" s="112"/>
      <c r="I207" s="110"/>
      <c r="J207" s="110"/>
      <c r="K207" s="110"/>
    </row>
    <row r="208" spans="2:11" s="99" customFormat="1" ht="15" customHeight="1">
      <c r="B208" s="110"/>
      <c r="C208" s="110"/>
      <c r="D208" s="110"/>
      <c r="E208" s="110"/>
      <c r="F208" s="111"/>
      <c r="G208" s="111"/>
      <c r="H208" s="112"/>
      <c r="I208" s="110"/>
      <c r="J208" s="110"/>
      <c r="K208" s="110"/>
    </row>
    <row r="209" spans="2:11" s="99" customFormat="1" ht="15" customHeight="1">
      <c r="B209" s="110"/>
      <c r="C209" s="110"/>
      <c r="D209" s="110"/>
      <c r="E209" s="110"/>
      <c r="F209" s="111"/>
      <c r="G209" s="111"/>
      <c r="H209" s="112"/>
      <c r="I209" s="110"/>
      <c r="J209" s="110"/>
      <c r="K209" s="110"/>
    </row>
    <row r="210" spans="2:11" s="99" customFormat="1" ht="15" customHeight="1">
      <c r="B210" s="110"/>
      <c r="C210" s="110"/>
      <c r="D210" s="110"/>
      <c r="E210" s="110"/>
      <c r="F210" s="111"/>
      <c r="G210" s="111"/>
      <c r="H210" s="112"/>
      <c r="I210" s="110"/>
      <c r="J210" s="110"/>
      <c r="K210" s="110"/>
    </row>
    <row r="211" spans="2:11" s="99" customFormat="1" ht="15" customHeight="1">
      <c r="B211" s="110"/>
      <c r="C211" s="110"/>
      <c r="D211" s="110"/>
      <c r="E211" s="110"/>
      <c r="F211" s="111"/>
      <c r="G211" s="111"/>
      <c r="H211" s="112"/>
      <c r="I211" s="110"/>
      <c r="J211" s="110"/>
      <c r="K211" s="110"/>
    </row>
    <row r="212" spans="2:11" s="99" customFormat="1" ht="15" customHeight="1">
      <c r="B212" s="110"/>
      <c r="C212" s="110"/>
      <c r="D212" s="110"/>
      <c r="E212" s="110"/>
      <c r="F212" s="111"/>
      <c r="G212" s="111"/>
      <c r="H212" s="112"/>
      <c r="I212" s="110"/>
      <c r="J212" s="110"/>
      <c r="K212" s="110"/>
    </row>
    <row r="213" spans="2:11" s="99" customFormat="1" ht="15" customHeight="1">
      <c r="B213" s="110"/>
      <c r="C213" s="110"/>
      <c r="D213" s="110"/>
      <c r="E213" s="110"/>
      <c r="F213" s="111"/>
      <c r="G213" s="111"/>
      <c r="H213" s="112"/>
      <c r="I213" s="110"/>
      <c r="J213" s="110"/>
      <c r="K213" s="110"/>
    </row>
    <row r="214" spans="2:11" s="99" customFormat="1" ht="15" customHeight="1">
      <c r="B214" s="110"/>
      <c r="C214" s="110"/>
      <c r="D214" s="110"/>
      <c r="E214" s="110"/>
      <c r="F214" s="111"/>
      <c r="G214" s="111"/>
      <c r="H214" s="112"/>
      <c r="I214" s="110"/>
      <c r="J214" s="110"/>
      <c r="K214" s="110"/>
    </row>
    <row r="215" spans="2:11" s="99" customFormat="1" ht="15" customHeight="1">
      <c r="B215" s="110"/>
      <c r="C215" s="110"/>
      <c r="D215" s="110"/>
      <c r="E215" s="110"/>
      <c r="F215" s="111"/>
      <c r="G215" s="111"/>
      <c r="H215" s="112"/>
      <c r="I215" s="110"/>
      <c r="J215" s="110"/>
      <c r="K215" s="110"/>
    </row>
    <row r="216" spans="2:11" s="99" customFormat="1" ht="15" customHeight="1">
      <c r="B216" s="110"/>
      <c r="C216" s="110"/>
      <c r="D216" s="110"/>
      <c r="E216" s="110"/>
      <c r="F216" s="111"/>
      <c r="G216" s="111"/>
      <c r="H216" s="112"/>
      <c r="I216" s="110"/>
      <c r="J216" s="110"/>
      <c r="K216" s="110"/>
    </row>
    <row r="217" spans="2:11" s="99" customFormat="1" ht="15" customHeight="1">
      <c r="B217" s="110"/>
      <c r="C217" s="110"/>
      <c r="D217" s="110"/>
      <c r="E217" s="110"/>
      <c r="F217" s="111"/>
      <c r="G217" s="111"/>
      <c r="H217" s="112"/>
      <c r="I217" s="110"/>
      <c r="J217" s="110"/>
      <c r="K217" s="110"/>
    </row>
    <row r="218" spans="2:11" s="99" customFormat="1" ht="15" customHeight="1">
      <c r="B218" s="110"/>
      <c r="C218" s="110"/>
      <c r="D218" s="110"/>
      <c r="E218" s="110"/>
      <c r="F218" s="111"/>
      <c r="G218" s="111"/>
      <c r="H218" s="112"/>
      <c r="I218" s="110"/>
      <c r="J218" s="110"/>
      <c r="K218" s="110"/>
    </row>
    <row r="219" spans="2:11" s="99" customFormat="1" ht="15" customHeight="1">
      <c r="B219" s="110"/>
      <c r="C219" s="110"/>
      <c r="D219" s="110"/>
      <c r="E219" s="110"/>
      <c r="F219" s="111"/>
      <c r="G219" s="111"/>
      <c r="H219" s="112"/>
      <c r="I219" s="110"/>
      <c r="J219" s="110"/>
      <c r="K219" s="110"/>
    </row>
    <row r="220" spans="2:11" s="99" customFormat="1" ht="15" customHeight="1">
      <c r="B220" s="110"/>
      <c r="C220" s="110"/>
      <c r="D220" s="110"/>
      <c r="E220" s="110"/>
      <c r="F220" s="111"/>
      <c r="G220" s="111"/>
      <c r="H220" s="112"/>
      <c r="I220" s="110"/>
      <c r="J220" s="110"/>
      <c r="K220" s="110"/>
    </row>
    <row r="221" spans="2:11" s="99" customFormat="1" ht="15" customHeight="1">
      <c r="B221" s="110"/>
      <c r="C221" s="110"/>
      <c r="D221" s="110"/>
      <c r="E221" s="110"/>
      <c r="F221" s="111"/>
      <c r="G221" s="111"/>
      <c r="H221" s="112"/>
      <c r="I221" s="110"/>
      <c r="J221" s="110"/>
      <c r="K221" s="110"/>
    </row>
    <row r="222" spans="2:11" s="99" customFormat="1" ht="15" customHeight="1">
      <c r="B222" s="110"/>
      <c r="C222" s="110"/>
      <c r="D222" s="110"/>
      <c r="E222" s="110"/>
      <c r="F222" s="111"/>
      <c r="G222" s="111"/>
      <c r="H222" s="112"/>
      <c r="I222" s="110"/>
      <c r="J222" s="110"/>
      <c r="K222" s="110"/>
    </row>
    <row r="223" spans="2:11" s="99" customFormat="1" ht="15" customHeight="1">
      <c r="B223" s="110"/>
      <c r="C223" s="110"/>
      <c r="D223" s="110"/>
      <c r="E223" s="110"/>
      <c r="F223" s="111"/>
      <c r="G223" s="111"/>
      <c r="H223" s="112"/>
      <c r="I223" s="110"/>
      <c r="J223" s="110"/>
      <c r="K223" s="110"/>
    </row>
    <row r="224" spans="2:11" s="99" customFormat="1" ht="15" customHeight="1">
      <c r="B224" s="110"/>
      <c r="C224" s="110"/>
      <c r="D224" s="110"/>
      <c r="E224" s="110"/>
      <c r="F224" s="111"/>
      <c r="G224" s="111"/>
      <c r="H224" s="112"/>
      <c r="I224" s="110"/>
      <c r="J224" s="110"/>
      <c r="K224" s="110"/>
    </row>
    <row r="225" spans="2:11" s="99" customFormat="1" ht="15" customHeight="1">
      <c r="B225" s="110"/>
      <c r="C225" s="110"/>
      <c r="D225" s="110"/>
      <c r="E225" s="110"/>
      <c r="F225" s="111"/>
      <c r="G225" s="111"/>
      <c r="H225" s="112"/>
      <c r="I225" s="110"/>
      <c r="J225" s="110"/>
      <c r="K225" s="110"/>
    </row>
    <row r="226" spans="2:11" s="99" customFormat="1" ht="15" customHeight="1">
      <c r="B226" s="110"/>
      <c r="C226" s="110"/>
      <c r="D226" s="110"/>
      <c r="E226" s="110"/>
      <c r="F226" s="111"/>
      <c r="G226" s="111"/>
      <c r="H226" s="112"/>
      <c r="I226" s="110"/>
      <c r="J226" s="110"/>
      <c r="K226" s="110"/>
    </row>
    <row r="227" spans="2:11" s="99" customFormat="1" ht="15" customHeight="1">
      <c r="B227" s="110"/>
      <c r="C227" s="110"/>
      <c r="D227" s="110"/>
      <c r="E227" s="110"/>
      <c r="F227" s="111"/>
      <c r="G227" s="111"/>
      <c r="H227" s="112"/>
      <c r="I227" s="110"/>
      <c r="J227" s="110"/>
      <c r="K227" s="110"/>
    </row>
    <row r="228" spans="2:11" s="99" customFormat="1" ht="15" customHeight="1">
      <c r="B228" s="110"/>
      <c r="C228" s="110"/>
      <c r="D228" s="110"/>
      <c r="E228" s="110"/>
      <c r="F228" s="111"/>
      <c r="G228" s="111"/>
      <c r="H228" s="112"/>
      <c r="I228" s="110"/>
      <c r="J228" s="110"/>
      <c r="K228" s="110"/>
    </row>
    <row r="229" spans="2:11" s="99" customFormat="1" ht="15" customHeight="1">
      <c r="B229" s="110"/>
      <c r="C229" s="110"/>
      <c r="D229" s="110"/>
      <c r="E229" s="110"/>
      <c r="F229" s="111"/>
      <c r="G229" s="111"/>
      <c r="H229" s="112"/>
      <c r="I229" s="110"/>
      <c r="J229" s="110"/>
      <c r="K229" s="110"/>
    </row>
    <row r="230" spans="2:11" s="99" customFormat="1" ht="15" customHeight="1">
      <c r="B230" s="110"/>
      <c r="C230" s="110"/>
      <c r="D230" s="110"/>
      <c r="E230" s="110"/>
      <c r="F230" s="111"/>
      <c r="G230" s="111"/>
      <c r="H230" s="112"/>
      <c r="I230" s="110"/>
      <c r="J230" s="110"/>
      <c r="K230" s="110"/>
    </row>
    <row r="231" spans="2:11" s="99" customFormat="1" ht="15" customHeight="1">
      <c r="B231" s="110"/>
      <c r="C231" s="110"/>
      <c r="D231" s="110"/>
      <c r="E231" s="110"/>
      <c r="F231" s="111"/>
      <c r="G231" s="111"/>
      <c r="H231" s="112"/>
      <c r="I231" s="110"/>
      <c r="J231" s="110"/>
      <c r="K231" s="110"/>
    </row>
    <row r="232" spans="2:11" s="99" customFormat="1" ht="15" customHeight="1">
      <c r="B232" s="110"/>
      <c r="C232" s="110"/>
      <c r="D232" s="110"/>
      <c r="E232" s="110"/>
      <c r="F232" s="111"/>
      <c r="G232" s="111"/>
      <c r="H232" s="112"/>
      <c r="I232" s="110"/>
      <c r="J232" s="110"/>
      <c r="K232" s="110"/>
    </row>
    <row r="233" spans="2:11" s="99" customFormat="1" ht="15" customHeight="1">
      <c r="B233" s="110"/>
      <c r="C233" s="110"/>
      <c r="D233" s="110"/>
      <c r="E233" s="110"/>
      <c r="F233" s="111"/>
      <c r="G233" s="111"/>
      <c r="H233" s="112"/>
      <c r="I233" s="110"/>
      <c r="J233" s="110"/>
      <c r="K233" s="110"/>
    </row>
    <row r="234" spans="2:11" s="99" customFormat="1" ht="15" customHeight="1">
      <c r="B234" s="110"/>
      <c r="C234" s="110"/>
      <c r="D234" s="110"/>
      <c r="E234" s="110"/>
      <c r="F234" s="111"/>
      <c r="G234" s="111"/>
      <c r="H234" s="112"/>
      <c r="I234" s="110"/>
      <c r="J234" s="110"/>
      <c r="K234" s="110"/>
    </row>
    <row r="235" spans="2:11" s="99" customFormat="1" ht="15" customHeight="1">
      <c r="B235" s="110"/>
      <c r="C235" s="110"/>
      <c r="D235" s="110"/>
      <c r="E235" s="110"/>
      <c r="F235" s="111"/>
      <c r="G235" s="111"/>
      <c r="H235" s="112"/>
      <c r="I235" s="110"/>
      <c r="J235" s="110"/>
      <c r="K235" s="110"/>
    </row>
    <row r="236" spans="2:11" s="99" customFormat="1" ht="15" customHeight="1">
      <c r="B236" s="110"/>
      <c r="C236" s="110"/>
      <c r="D236" s="110"/>
      <c r="E236" s="110"/>
      <c r="F236" s="111"/>
      <c r="G236" s="111"/>
      <c r="H236" s="112"/>
      <c r="I236" s="110"/>
      <c r="J236" s="110"/>
      <c r="K236" s="110"/>
    </row>
    <row r="237" spans="2:11" s="99" customFormat="1" ht="15" customHeight="1">
      <c r="B237" s="110"/>
      <c r="C237" s="110"/>
      <c r="D237" s="110"/>
      <c r="E237" s="110"/>
      <c r="F237" s="111"/>
      <c r="G237" s="111"/>
      <c r="H237" s="112"/>
      <c r="I237" s="110"/>
      <c r="J237" s="110"/>
      <c r="K237" s="110"/>
    </row>
    <row r="238" spans="2:11" s="99" customFormat="1" ht="15" customHeight="1">
      <c r="B238" s="110"/>
      <c r="C238" s="110"/>
      <c r="D238" s="110"/>
      <c r="E238" s="110"/>
      <c r="F238" s="111"/>
      <c r="G238" s="111"/>
      <c r="H238" s="112"/>
      <c r="I238" s="110"/>
      <c r="J238" s="110"/>
      <c r="K238" s="110"/>
    </row>
    <row r="239" spans="2:11" s="99" customFormat="1" ht="15" customHeight="1">
      <c r="B239" s="110"/>
      <c r="C239" s="110"/>
      <c r="D239" s="110"/>
      <c r="E239" s="110"/>
      <c r="F239" s="111"/>
      <c r="G239" s="111"/>
      <c r="H239" s="112"/>
      <c r="I239" s="110"/>
      <c r="J239" s="110"/>
      <c r="K239" s="110"/>
    </row>
    <row r="240" spans="2:11" s="99" customFormat="1" ht="15" customHeight="1">
      <c r="B240" s="110"/>
      <c r="C240" s="110"/>
      <c r="D240" s="110"/>
      <c r="E240" s="110"/>
      <c r="F240" s="111"/>
      <c r="G240" s="111"/>
      <c r="H240" s="112"/>
      <c r="I240" s="110"/>
      <c r="J240" s="110"/>
      <c r="K240" s="110"/>
    </row>
    <row r="241" spans="2:11" s="99" customFormat="1" ht="15" customHeight="1">
      <c r="B241" s="110"/>
      <c r="C241" s="110"/>
      <c r="D241" s="110"/>
      <c r="E241" s="110"/>
      <c r="F241" s="111"/>
      <c r="G241" s="111"/>
      <c r="H241" s="112"/>
      <c r="I241" s="110"/>
      <c r="J241" s="110"/>
      <c r="K241" s="110"/>
    </row>
    <row r="242" spans="2:11" s="99" customFormat="1" ht="15" customHeight="1">
      <c r="B242" s="110"/>
      <c r="C242" s="110"/>
      <c r="D242" s="110"/>
      <c r="E242" s="110"/>
      <c r="F242" s="111"/>
      <c r="G242" s="111"/>
      <c r="H242" s="112"/>
      <c r="I242" s="110"/>
      <c r="J242" s="110"/>
      <c r="K242" s="110"/>
    </row>
    <row r="243" spans="2:11" s="99" customFormat="1" ht="15" customHeight="1">
      <c r="B243" s="110"/>
      <c r="C243" s="110"/>
      <c r="D243" s="110"/>
      <c r="E243" s="110"/>
      <c r="F243" s="111"/>
      <c r="G243" s="111"/>
      <c r="H243" s="112"/>
      <c r="I243" s="110"/>
      <c r="J243" s="110"/>
      <c r="K243" s="110"/>
    </row>
    <row r="244" spans="2:11" s="99" customFormat="1" ht="15" customHeight="1">
      <c r="B244" s="110"/>
      <c r="C244" s="110"/>
      <c r="D244" s="110"/>
      <c r="E244" s="110"/>
      <c r="F244" s="111"/>
      <c r="G244" s="111"/>
      <c r="H244" s="112"/>
      <c r="I244" s="110"/>
      <c r="J244" s="110"/>
      <c r="K244" s="110"/>
    </row>
    <row r="245" spans="2:11" s="99" customFormat="1" ht="15" customHeight="1">
      <c r="B245" s="110"/>
      <c r="C245" s="110"/>
      <c r="D245" s="110"/>
      <c r="E245" s="110"/>
      <c r="F245" s="111"/>
      <c r="G245" s="111"/>
      <c r="H245" s="112"/>
      <c r="I245" s="110"/>
      <c r="J245" s="110"/>
      <c r="K245" s="110"/>
    </row>
    <row r="246" spans="2:11" s="99" customFormat="1" ht="15" customHeight="1">
      <c r="B246" s="110"/>
      <c r="C246" s="110"/>
      <c r="D246" s="110"/>
      <c r="E246" s="110"/>
      <c r="F246" s="111"/>
      <c r="G246" s="111"/>
      <c r="H246" s="112"/>
      <c r="I246" s="110"/>
      <c r="J246" s="110"/>
      <c r="K246" s="110"/>
    </row>
    <row r="247" spans="2:11" s="99" customFormat="1" ht="15" customHeight="1">
      <c r="B247" s="110"/>
      <c r="C247" s="110"/>
      <c r="D247" s="110"/>
      <c r="E247" s="110"/>
      <c r="F247" s="111"/>
      <c r="G247" s="111"/>
      <c r="H247" s="112"/>
      <c r="I247" s="110"/>
      <c r="J247" s="110"/>
      <c r="K247" s="110"/>
    </row>
    <row r="248" spans="2:11" s="99" customFormat="1" ht="15" customHeight="1">
      <c r="B248" s="110"/>
      <c r="C248" s="110"/>
      <c r="D248" s="110"/>
      <c r="E248" s="110"/>
      <c r="F248" s="111"/>
      <c r="G248" s="111"/>
      <c r="H248" s="112"/>
      <c r="I248" s="110"/>
      <c r="J248" s="110"/>
      <c r="K248" s="110"/>
    </row>
    <row r="249" spans="2:11" s="99" customFormat="1" ht="15" customHeight="1">
      <c r="B249" s="110"/>
      <c r="C249" s="110"/>
      <c r="D249" s="110"/>
      <c r="E249" s="110"/>
      <c r="F249" s="111"/>
      <c r="G249" s="111"/>
      <c r="H249" s="112"/>
      <c r="I249" s="110"/>
      <c r="J249" s="110"/>
      <c r="K249" s="110"/>
    </row>
    <row r="250" spans="2:11" s="99" customFormat="1" ht="15" customHeight="1">
      <c r="B250" s="110"/>
      <c r="C250" s="110"/>
      <c r="D250" s="110"/>
      <c r="E250" s="110"/>
      <c r="F250" s="111"/>
      <c r="G250" s="111"/>
      <c r="H250" s="112"/>
      <c r="I250" s="110"/>
      <c r="J250" s="110"/>
      <c r="K250" s="110"/>
    </row>
    <row r="251" spans="2:11" s="99" customFormat="1" ht="15" customHeight="1">
      <c r="B251" s="110"/>
      <c r="C251" s="110"/>
      <c r="D251" s="110"/>
      <c r="E251" s="110"/>
      <c r="F251" s="111"/>
      <c r="G251" s="111"/>
      <c r="H251" s="112"/>
      <c r="I251" s="110"/>
      <c r="J251" s="110"/>
      <c r="K251" s="110"/>
    </row>
    <row r="252" spans="2:11" s="99" customFormat="1" ht="15" customHeight="1">
      <c r="B252" s="110"/>
      <c r="C252" s="110"/>
      <c r="D252" s="110"/>
      <c r="E252" s="110"/>
      <c r="F252" s="111"/>
      <c r="G252" s="111"/>
      <c r="H252" s="112"/>
      <c r="I252" s="110"/>
      <c r="J252" s="110"/>
      <c r="K252" s="110"/>
    </row>
    <row r="253" spans="2:11" s="99" customFormat="1" ht="15" customHeight="1">
      <c r="B253" s="110"/>
      <c r="C253" s="110"/>
      <c r="D253" s="110"/>
      <c r="E253" s="110"/>
      <c r="F253" s="111"/>
      <c r="G253" s="111"/>
      <c r="H253" s="112"/>
      <c r="I253" s="110"/>
      <c r="J253" s="110"/>
      <c r="K253" s="110"/>
    </row>
    <row r="254" spans="2:11" s="99" customFormat="1" ht="15" customHeight="1">
      <c r="B254" s="110"/>
      <c r="C254" s="110"/>
      <c r="D254" s="110"/>
      <c r="E254" s="110"/>
      <c r="F254" s="111"/>
      <c r="G254" s="111"/>
      <c r="H254" s="112"/>
      <c r="I254" s="110"/>
      <c r="J254" s="110"/>
      <c r="K254" s="110"/>
    </row>
    <row r="255" spans="2:11" s="99" customFormat="1" ht="15" customHeight="1">
      <c r="B255" s="110"/>
      <c r="C255" s="110"/>
      <c r="D255" s="110"/>
      <c r="E255" s="110"/>
      <c r="F255" s="111"/>
      <c r="G255" s="111"/>
      <c r="H255" s="112"/>
      <c r="I255" s="110"/>
      <c r="J255" s="110"/>
      <c r="K255" s="110"/>
    </row>
    <row r="256" spans="2:11" s="99" customFormat="1" ht="15" customHeight="1">
      <c r="B256" s="110"/>
      <c r="C256" s="110"/>
      <c r="D256" s="110"/>
      <c r="E256" s="110"/>
      <c r="F256" s="111"/>
      <c r="G256" s="111"/>
      <c r="H256" s="112"/>
      <c r="I256" s="110"/>
      <c r="J256" s="110"/>
      <c r="K256" s="110"/>
    </row>
    <row r="257" spans="2:11" s="99" customFormat="1" ht="15" customHeight="1">
      <c r="B257" s="110"/>
      <c r="C257" s="110"/>
      <c r="D257" s="110"/>
      <c r="E257" s="110"/>
      <c r="F257" s="111"/>
      <c r="G257" s="111"/>
      <c r="H257" s="112"/>
      <c r="I257" s="110"/>
      <c r="J257" s="110"/>
      <c r="K257" s="110"/>
    </row>
    <row r="258" spans="2:11" s="99" customFormat="1" ht="15" customHeight="1">
      <c r="B258" s="110"/>
      <c r="C258" s="110"/>
      <c r="D258" s="110"/>
      <c r="E258" s="110"/>
      <c r="F258" s="111"/>
      <c r="G258" s="111"/>
      <c r="H258" s="112"/>
      <c r="I258" s="110"/>
      <c r="J258" s="110"/>
      <c r="K258" s="110"/>
    </row>
    <row r="259" spans="2:11" s="99" customFormat="1" ht="15" customHeight="1">
      <c r="B259" s="110"/>
      <c r="C259" s="110"/>
      <c r="D259" s="110"/>
      <c r="E259" s="110"/>
      <c r="F259" s="111"/>
      <c r="G259" s="111"/>
      <c r="H259" s="112"/>
      <c r="I259" s="110"/>
      <c r="J259" s="110"/>
      <c r="K259" s="110"/>
    </row>
    <row r="260" spans="2:11" s="99" customFormat="1" ht="15" customHeight="1">
      <c r="B260" s="110"/>
      <c r="C260" s="110"/>
      <c r="D260" s="110"/>
      <c r="E260" s="110"/>
      <c r="F260" s="111"/>
      <c r="G260" s="111"/>
      <c r="H260" s="112"/>
      <c r="I260" s="110"/>
      <c r="J260" s="110"/>
      <c r="K260" s="110"/>
    </row>
    <row r="261" spans="2:11" s="99" customFormat="1" ht="15" customHeight="1">
      <c r="B261" s="110"/>
      <c r="C261" s="110"/>
      <c r="D261" s="110"/>
      <c r="E261" s="110"/>
      <c r="F261" s="111"/>
      <c r="G261" s="111"/>
      <c r="H261" s="112"/>
      <c r="I261" s="110"/>
      <c r="J261" s="110"/>
      <c r="K261" s="110"/>
    </row>
    <row r="262" spans="2:11" s="99" customFormat="1" ht="15" customHeight="1">
      <c r="B262" s="110"/>
      <c r="C262" s="110"/>
      <c r="D262" s="110"/>
      <c r="E262" s="110"/>
      <c r="F262" s="111"/>
      <c r="G262" s="111"/>
      <c r="H262" s="112"/>
      <c r="I262" s="110"/>
      <c r="J262" s="110"/>
      <c r="K262" s="110"/>
    </row>
    <row r="263" spans="2:11" s="99" customFormat="1" ht="15" customHeight="1">
      <c r="B263" s="110"/>
      <c r="C263" s="110"/>
      <c r="D263" s="110"/>
      <c r="E263" s="110"/>
      <c r="F263" s="111"/>
      <c r="G263" s="111"/>
      <c r="H263" s="112"/>
      <c r="I263" s="110"/>
      <c r="J263" s="110"/>
      <c r="K263" s="110"/>
    </row>
    <row r="264" spans="2:11" s="99" customFormat="1" ht="15" customHeight="1">
      <c r="B264" s="110"/>
      <c r="C264" s="110"/>
      <c r="D264" s="110"/>
      <c r="E264" s="110"/>
      <c r="F264" s="111"/>
      <c r="G264" s="111"/>
      <c r="H264" s="112"/>
      <c r="I264" s="110"/>
      <c r="J264" s="110"/>
      <c r="K264" s="110"/>
    </row>
    <row r="265" spans="2:11" s="99" customFormat="1" ht="15" customHeight="1">
      <c r="B265" s="110"/>
      <c r="C265" s="110"/>
      <c r="D265" s="110"/>
      <c r="E265" s="110"/>
      <c r="F265" s="111"/>
      <c r="G265" s="111"/>
      <c r="H265" s="112"/>
      <c r="I265" s="110"/>
      <c r="J265" s="110"/>
      <c r="K265" s="110"/>
    </row>
    <row r="266" spans="2:11" s="99" customFormat="1" ht="15" customHeight="1">
      <c r="B266" s="110"/>
      <c r="C266" s="110"/>
      <c r="D266" s="110"/>
      <c r="E266" s="110"/>
      <c r="F266" s="111"/>
      <c r="G266" s="111"/>
      <c r="H266" s="112"/>
      <c r="I266" s="110"/>
      <c r="J266" s="110"/>
      <c r="K266" s="110"/>
    </row>
    <row r="267" spans="2:11" s="99" customFormat="1" ht="15" customHeight="1">
      <c r="B267" s="110"/>
      <c r="C267" s="110"/>
      <c r="D267" s="110"/>
      <c r="E267" s="110"/>
      <c r="F267" s="111"/>
      <c r="G267" s="111"/>
      <c r="H267" s="112"/>
      <c r="I267" s="110"/>
      <c r="J267" s="110"/>
      <c r="K267" s="110"/>
    </row>
    <row r="268" spans="2:11" s="99" customFormat="1" ht="15" customHeight="1">
      <c r="B268" s="110"/>
      <c r="C268" s="110"/>
      <c r="D268" s="110"/>
      <c r="E268" s="110"/>
      <c r="F268" s="111"/>
      <c r="G268" s="111"/>
      <c r="H268" s="112"/>
      <c r="I268" s="110"/>
      <c r="J268" s="110"/>
      <c r="K268" s="110"/>
    </row>
    <row r="269" spans="2:11" s="99" customFormat="1" ht="15" customHeight="1">
      <c r="B269" s="110"/>
      <c r="C269" s="110"/>
      <c r="D269" s="110"/>
      <c r="E269" s="110"/>
      <c r="F269" s="111"/>
      <c r="G269" s="111"/>
      <c r="H269" s="112"/>
      <c r="I269" s="110"/>
      <c r="J269" s="110"/>
      <c r="K269" s="110"/>
    </row>
    <row r="270" spans="2:11" s="99" customFormat="1" ht="15" customHeight="1">
      <c r="B270" s="110"/>
      <c r="C270" s="110"/>
      <c r="D270" s="110"/>
      <c r="E270" s="110"/>
      <c r="F270" s="111"/>
      <c r="G270" s="111"/>
      <c r="H270" s="112"/>
      <c r="I270" s="110"/>
      <c r="J270" s="110"/>
      <c r="K270" s="110"/>
    </row>
    <row r="271" spans="2:11" s="99" customFormat="1" ht="15" customHeight="1">
      <c r="B271" s="110"/>
      <c r="C271" s="110"/>
      <c r="D271" s="110"/>
      <c r="E271" s="110"/>
      <c r="F271" s="111"/>
      <c r="G271" s="111"/>
      <c r="H271" s="112"/>
      <c r="I271" s="110"/>
      <c r="J271" s="110"/>
      <c r="K271" s="110"/>
    </row>
    <row r="272" spans="2:11" s="99" customFormat="1" ht="15" customHeight="1">
      <c r="B272" s="110"/>
      <c r="C272" s="110"/>
      <c r="D272" s="110"/>
      <c r="E272" s="110"/>
      <c r="F272" s="111"/>
      <c r="G272" s="111"/>
      <c r="H272" s="112"/>
      <c r="I272" s="110"/>
      <c r="J272" s="110"/>
      <c r="K272" s="110"/>
    </row>
    <row r="273" spans="2:11" s="99" customFormat="1" ht="15" customHeight="1">
      <c r="B273" s="110"/>
      <c r="C273" s="110"/>
      <c r="D273" s="110"/>
      <c r="E273" s="110"/>
      <c r="F273" s="111"/>
      <c r="G273" s="111"/>
      <c r="H273" s="112"/>
      <c r="I273" s="110"/>
      <c r="J273" s="110"/>
      <c r="K273" s="110"/>
    </row>
    <row r="274" spans="2:11" s="99" customFormat="1" ht="15" customHeight="1">
      <c r="B274" s="110"/>
      <c r="C274" s="110"/>
      <c r="D274" s="110"/>
      <c r="E274" s="110"/>
      <c r="F274" s="111"/>
      <c r="G274" s="111"/>
      <c r="H274" s="112"/>
      <c r="I274" s="110"/>
      <c r="J274" s="110"/>
      <c r="K274" s="110"/>
    </row>
    <row r="275" spans="2:11" s="99" customFormat="1" ht="15" customHeight="1">
      <c r="B275" s="110"/>
      <c r="C275" s="110"/>
      <c r="D275" s="110"/>
      <c r="E275" s="110"/>
      <c r="F275" s="111"/>
      <c r="G275" s="111"/>
      <c r="H275" s="112"/>
      <c r="I275" s="110"/>
      <c r="J275" s="110"/>
      <c r="K275" s="110"/>
    </row>
    <row r="276" spans="2:11" s="99" customFormat="1" ht="15" customHeight="1">
      <c r="B276" s="110"/>
      <c r="C276" s="110"/>
      <c r="D276" s="110"/>
      <c r="E276" s="110"/>
      <c r="F276" s="111"/>
      <c r="G276" s="111"/>
      <c r="H276" s="112"/>
      <c r="I276" s="110"/>
      <c r="J276" s="110"/>
      <c r="K276" s="110"/>
    </row>
    <row r="277" spans="2:11" s="99" customFormat="1" ht="15" customHeight="1">
      <c r="B277" s="110"/>
      <c r="C277" s="110"/>
      <c r="D277" s="110"/>
      <c r="E277" s="110"/>
      <c r="F277" s="111"/>
      <c r="G277" s="111"/>
      <c r="H277" s="112"/>
      <c r="I277" s="110"/>
      <c r="J277" s="110"/>
      <c r="K277" s="110"/>
    </row>
    <row r="278" spans="2:11" s="99" customFormat="1" ht="15" customHeight="1">
      <c r="B278" s="110"/>
      <c r="C278" s="110"/>
      <c r="D278" s="110"/>
      <c r="E278" s="110"/>
      <c r="F278" s="111"/>
      <c r="G278" s="111"/>
      <c r="H278" s="112"/>
      <c r="I278" s="110"/>
      <c r="J278" s="110"/>
      <c r="K278" s="110"/>
    </row>
    <row r="279" spans="2:11" s="99" customFormat="1" ht="15" customHeight="1">
      <c r="B279" s="110"/>
      <c r="C279" s="110"/>
      <c r="D279" s="110"/>
      <c r="E279" s="110"/>
      <c r="F279" s="111"/>
      <c r="G279" s="111"/>
      <c r="H279" s="112"/>
      <c r="I279" s="110"/>
      <c r="J279" s="110"/>
      <c r="K279" s="110"/>
    </row>
    <row r="280" spans="2:11" s="99" customFormat="1" ht="15" customHeight="1">
      <c r="B280" s="110"/>
      <c r="C280" s="110"/>
      <c r="D280" s="110"/>
      <c r="E280" s="110"/>
      <c r="F280" s="111"/>
      <c r="G280" s="111"/>
      <c r="H280" s="112"/>
      <c r="I280" s="110"/>
      <c r="J280" s="110"/>
      <c r="K280" s="110"/>
    </row>
    <row r="281" spans="2:11" s="99" customFormat="1" ht="15" customHeight="1">
      <c r="B281" s="110"/>
      <c r="C281" s="110"/>
      <c r="D281" s="110"/>
      <c r="E281" s="110"/>
      <c r="F281" s="111"/>
      <c r="G281" s="111"/>
      <c r="H281" s="112"/>
      <c r="I281" s="110"/>
      <c r="J281" s="110"/>
      <c r="K281" s="110"/>
    </row>
    <row r="282" spans="2:11" s="99" customFormat="1" ht="15" customHeight="1">
      <c r="B282" s="110"/>
      <c r="C282" s="110"/>
      <c r="D282" s="110"/>
      <c r="E282" s="110"/>
      <c r="F282" s="111"/>
      <c r="G282" s="111"/>
      <c r="H282" s="112"/>
      <c r="I282" s="110"/>
      <c r="J282" s="110"/>
      <c r="K282" s="110"/>
    </row>
    <row r="283" spans="2:11" s="99" customFormat="1" ht="15" customHeight="1">
      <c r="B283" s="110"/>
      <c r="C283" s="110"/>
      <c r="D283" s="110"/>
      <c r="E283" s="110"/>
      <c r="F283" s="111"/>
      <c r="G283" s="111"/>
      <c r="H283" s="112"/>
      <c r="I283" s="110"/>
      <c r="J283" s="110"/>
      <c r="K283" s="110"/>
    </row>
    <row r="284" spans="2:11" s="99" customFormat="1" ht="15" customHeight="1">
      <c r="B284" s="110"/>
      <c r="C284" s="110"/>
      <c r="D284" s="110"/>
      <c r="E284" s="110"/>
      <c r="F284" s="111"/>
      <c r="G284" s="111"/>
      <c r="H284" s="112"/>
      <c r="I284" s="110"/>
      <c r="J284" s="110"/>
      <c r="K284" s="110"/>
    </row>
    <row r="285" spans="2:11" s="99" customFormat="1" ht="15" customHeight="1">
      <c r="B285" s="110"/>
      <c r="C285" s="110"/>
      <c r="D285" s="110"/>
      <c r="E285" s="110"/>
      <c r="F285" s="111"/>
      <c r="G285" s="111"/>
      <c r="H285" s="112"/>
      <c r="I285" s="110"/>
      <c r="J285" s="110"/>
      <c r="K285" s="110"/>
    </row>
    <row r="286" spans="2:11" s="99" customFormat="1" ht="15" customHeight="1">
      <c r="B286" s="110"/>
      <c r="C286" s="110"/>
      <c r="D286" s="110"/>
      <c r="E286" s="110"/>
      <c r="F286" s="111"/>
      <c r="G286" s="111"/>
      <c r="H286" s="112"/>
      <c r="I286" s="110"/>
      <c r="J286" s="110"/>
      <c r="K286" s="110"/>
    </row>
    <row r="287" spans="2:11" s="99" customFormat="1" ht="15" customHeight="1">
      <c r="B287" s="110"/>
      <c r="C287" s="110"/>
      <c r="D287" s="110"/>
      <c r="E287" s="110"/>
      <c r="F287" s="111"/>
      <c r="G287" s="111"/>
      <c r="H287" s="112"/>
      <c r="I287" s="110"/>
      <c r="J287" s="110"/>
      <c r="K287" s="110"/>
    </row>
    <row r="288" spans="2:11" s="99" customFormat="1" ht="15" customHeight="1">
      <c r="B288" s="110"/>
      <c r="C288" s="110"/>
      <c r="D288" s="110"/>
      <c r="E288" s="110"/>
      <c r="F288" s="111"/>
      <c r="G288" s="111"/>
      <c r="H288" s="112"/>
      <c r="I288" s="110"/>
      <c r="J288" s="110"/>
      <c r="K288" s="110"/>
    </row>
    <row r="289" spans="2:11" s="99" customFormat="1" ht="15" customHeight="1">
      <c r="B289" s="110"/>
      <c r="C289" s="110"/>
      <c r="D289" s="110"/>
      <c r="E289" s="110"/>
      <c r="F289" s="111"/>
      <c r="G289" s="111"/>
      <c r="H289" s="112"/>
      <c r="I289" s="110"/>
      <c r="J289" s="110"/>
      <c r="K289" s="110"/>
    </row>
    <row r="290" spans="2:11" s="99" customFormat="1" ht="15" customHeight="1">
      <c r="B290" s="110"/>
      <c r="C290" s="110"/>
      <c r="D290" s="110"/>
      <c r="E290" s="110"/>
      <c r="F290" s="111"/>
      <c r="G290" s="111"/>
      <c r="H290" s="112"/>
      <c r="I290" s="110"/>
      <c r="J290" s="110"/>
      <c r="K290" s="110"/>
    </row>
    <row r="291" spans="2:11" s="99" customFormat="1" ht="15" customHeight="1">
      <c r="B291" s="110"/>
      <c r="C291" s="110"/>
      <c r="D291" s="110"/>
      <c r="E291" s="110"/>
      <c r="F291" s="111"/>
      <c r="G291" s="111"/>
      <c r="H291" s="112"/>
      <c r="I291" s="110"/>
      <c r="J291" s="110"/>
      <c r="K291" s="110"/>
    </row>
    <row r="292" spans="2:11" s="99" customFormat="1" ht="15" customHeight="1">
      <c r="B292" s="110"/>
      <c r="C292" s="110"/>
      <c r="D292" s="110"/>
      <c r="E292" s="110"/>
      <c r="F292" s="111"/>
      <c r="G292" s="111"/>
      <c r="H292" s="112"/>
      <c r="I292" s="110"/>
      <c r="J292" s="110"/>
      <c r="K292" s="110"/>
    </row>
    <row r="293" spans="2:11" s="99" customFormat="1" ht="15" customHeight="1">
      <c r="B293" s="110"/>
      <c r="C293" s="110"/>
      <c r="D293" s="110"/>
      <c r="E293" s="110"/>
      <c r="F293" s="111"/>
      <c r="G293" s="111"/>
      <c r="H293" s="112"/>
      <c r="I293" s="110"/>
      <c r="J293" s="110"/>
      <c r="K293" s="110"/>
    </row>
    <row r="294" spans="2:11" s="99" customFormat="1" ht="15" customHeight="1">
      <c r="B294" s="110"/>
      <c r="C294" s="110"/>
      <c r="D294" s="110"/>
      <c r="E294" s="110"/>
      <c r="F294" s="111"/>
      <c r="G294" s="111"/>
      <c r="H294" s="112"/>
      <c r="I294" s="110"/>
      <c r="J294" s="110"/>
      <c r="K294" s="110"/>
    </row>
    <row r="295" spans="2:11" s="99" customFormat="1" ht="15" customHeight="1">
      <c r="B295" s="110"/>
      <c r="C295" s="110"/>
      <c r="D295" s="110"/>
      <c r="E295" s="110"/>
      <c r="F295" s="111"/>
      <c r="G295" s="111"/>
      <c r="H295" s="112"/>
      <c r="I295" s="110"/>
      <c r="J295" s="110"/>
      <c r="K295" s="110"/>
    </row>
    <row r="296" spans="2:11" s="99" customFormat="1" ht="15" customHeight="1">
      <c r="B296" s="110"/>
      <c r="C296" s="110"/>
      <c r="D296" s="110"/>
      <c r="E296" s="110"/>
      <c r="F296" s="111"/>
      <c r="G296" s="111"/>
      <c r="H296" s="112"/>
      <c r="I296" s="110"/>
      <c r="J296" s="110"/>
      <c r="K296" s="110"/>
    </row>
    <row r="297" spans="2:11" s="99" customFormat="1" ht="15" customHeight="1">
      <c r="B297" s="110"/>
      <c r="C297" s="110"/>
      <c r="D297" s="110"/>
      <c r="E297" s="110"/>
      <c r="F297" s="111"/>
      <c r="G297" s="111"/>
      <c r="H297" s="112"/>
      <c r="I297" s="110"/>
      <c r="J297" s="110"/>
      <c r="K297" s="110"/>
    </row>
    <row r="298" spans="2:11" s="99" customFormat="1" ht="15" customHeight="1">
      <c r="B298" s="110"/>
      <c r="C298" s="110"/>
      <c r="D298" s="110"/>
      <c r="E298" s="110"/>
      <c r="F298" s="111"/>
      <c r="G298" s="111"/>
      <c r="H298" s="112"/>
      <c r="I298" s="110"/>
      <c r="J298" s="110"/>
      <c r="K298" s="110"/>
    </row>
    <row r="299" spans="2:11" s="99" customFormat="1" ht="15" customHeight="1">
      <c r="B299" s="110"/>
      <c r="C299" s="110"/>
      <c r="D299" s="110"/>
      <c r="E299" s="110"/>
      <c r="F299" s="111"/>
      <c r="G299" s="111"/>
      <c r="H299" s="112"/>
      <c r="I299" s="110"/>
      <c r="J299" s="110"/>
      <c r="K299" s="110"/>
    </row>
    <row r="300" spans="2:11" s="99" customFormat="1" ht="15" customHeight="1">
      <c r="B300" s="110"/>
      <c r="C300" s="110"/>
      <c r="D300" s="110"/>
      <c r="E300" s="110"/>
      <c r="F300" s="111"/>
      <c r="G300" s="111"/>
      <c r="H300" s="112"/>
      <c r="I300" s="110"/>
      <c r="J300" s="110"/>
      <c r="K300" s="110"/>
    </row>
    <row r="301" spans="2:11" s="99" customFormat="1" ht="15" customHeight="1">
      <c r="B301" s="110"/>
      <c r="C301" s="110"/>
      <c r="D301" s="110"/>
      <c r="E301" s="110"/>
      <c r="F301" s="111"/>
      <c r="G301" s="111"/>
      <c r="H301" s="112"/>
      <c r="I301" s="110"/>
      <c r="J301" s="110"/>
      <c r="K301" s="110"/>
    </row>
    <row r="302" spans="2:11" s="99" customFormat="1" ht="15" customHeight="1">
      <c r="B302" s="110"/>
      <c r="C302" s="110"/>
      <c r="D302" s="110"/>
      <c r="E302" s="110"/>
      <c r="F302" s="111"/>
      <c r="G302" s="111"/>
      <c r="H302" s="112"/>
      <c r="I302" s="110"/>
      <c r="J302" s="110"/>
      <c r="K302" s="110"/>
    </row>
    <row r="303" spans="2:11" s="99" customFormat="1" ht="15" customHeight="1">
      <c r="B303" s="110"/>
      <c r="C303" s="110"/>
      <c r="D303" s="110"/>
      <c r="E303" s="110"/>
      <c r="F303" s="111"/>
      <c r="G303" s="111"/>
      <c r="H303" s="112"/>
      <c r="I303" s="110"/>
      <c r="J303" s="110"/>
      <c r="K303" s="110"/>
    </row>
    <row r="304" spans="2:11" s="99" customFormat="1" ht="15" customHeight="1">
      <c r="B304" s="110"/>
      <c r="C304" s="110"/>
      <c r="D304" s="110"/>
      <c r="E304" s="110"/>
      <c r="F304" s="111"/>
      <c r="G304" s="111"/>
      <c r="H304" s="112"/>
      <c r="I304" s="110"/>
      <c r="J304" s="110"/>
      <c r="K304" s="110"/>
    </row>
    <row r="305" spans="2:11" s="99" customFormat="1" ht="15" customHeight="1">
      <c r="B305" s="110"/>
      <c r="C305" s="110"/>
      <c r="D305" s="110"/>
      <c r="E305" s="110"/>
      <c r="F305" s="111"/>
      <c r="G305" s="111"/>
      <c r="H305" s="112"/>
      <c r="I305" s="110"/>
      <c r="J305" s="110"/>
      <c r="K305" s="110"/>
    </row>
    <row r="306" spans="2:11" s="99" customFormat="1" ht="15" customHeight="1">
      <c r="B306" s="110"/>
      <c r="C306" s="110"/>
      <c r="D306" s="110"/>
      <c r="E306" s="110"/>
      <c r="F306" s="111"/>
      <c r="G306" s="111"/>
      <c r="H306" s="112"/>
      <c r="I306" s="110"/>
      <c r="J306" s="110"/>
      <c r="K306" s="110"/>
    </row>
    <row r="307" spans="2:11" s="99" customFormat="1" ht="15" customHeight="1">
      <c r="B307" s="110"/>
      <c r="C307" s="110"/>
      <c r="D307" s="110"/>
      <c r="E307" s="110"/>
      <c r="F307" s="111"/>
      <c r="G307" s="111"/>
      <c r="H307" s="112"/>
      <c r="I307" s="110"/>
      <c r="J307" s="110"/>
      <c r="K307" s="110"/>
    </row>
    <row r="308" spans="2:11" s="99" customFormat="1" ht="15" customHeight="1">
      <c r="B308" s="110"/>
      <c r="C308" s="110"/>
      <c r="D308" s="110"/>
      <c r="E308" s="110"/>
      <c r="F308" s="111"/>
      <c r="G308" s="111"/>
      <c r="H308" s="112"/>
      <c r="I308" s="110"/>
      <c r="J308" s="110"/>
      <c r="K308" s="110"/>
    </row>
    <row r="309" spans="2:11" s="99" customFormat="1" ht="15" customHeight="1">
      <c r="B309" s="110"/>
      <c r="C309" s="110"/>
      <c r="D309" s="110"/>
      <c r="E309" s="110"/>
      <c r="F309" s="111"/>
      <c r="G309" s="111"/>
      <c r="H309" s="112"/>
      <c r="I309" s="110"/>
      <c r="J309" s="110"/>
      <c r="K309" s="110"/>
    </row>
    <row r="310" spans="2:11" s="99" customFormat="1" ht="15" customHeight="1">
      <c r="B310" s="110"/>
      <c r="C310" s="110"/>
      <c r="D310" s="110"/>
      <c r="E310" s="110"/>
      <c r="F310" s="111"/>
      <c r="G310" s="111"/>
      <c r="H310" s="112"/>
      <c r="I310" s="110"/>
      <c r="J310" s="110"/>
      <c r="K310" s="110"/>
    </row>
    <row r="311" spans="2:11" s="99" customFormat="1" ht="15" customHeight="1">
      <c r="B311" s="110"/>
      <c r="C311" s="110"/>
      <c r="D311" s="110"/>
      <c r="E311" s="110"/>
      <c r="F311" s="111"/>
      <c r="G311" s="111"/>
      <c r="H311" s="112"/>
      <c r="I311" s="110"/>
      <c r="J311" s="110"/>
      <c r="K311" s="110"/>
    </row>
    <row r="312" spans="2:11" s="99" customFormat="1" ht="15" customHeight="1">
      <c r="B312" s="110"/>
      <c r="C312" s="110"/>
      <c r="D312" s="110"/>
      <c r="E312" s="110"/>
      <c r="F312" s="111"/>
      <c r="G312" s="111"/>
      <c r="H312" s="112"/>
      <c r="I312" s="110"/>
      <c r="J312" s="110"/>
      <c r="K312" s="110"/>
    </row>
    <row r="313" spans="2:11" s="99" customFormat="1" ht="15" customHeight="1">
      <c r="B313" s="110"/>
      <c r="C313" s="110"/>
      <c r="D313" s="110"/>
      <c r="E313" s="110"/>
      <c r="F313" s="111"/>
      <c r="G313" s="111"/>
      <c r="H313" s="112"/>
      <c r="I313" s="110"/>
      <c r="J313" s="110"/>
      <c r="K313" s="110"/>
    </row>
    <row r="314" spans="2:11" s="99" customFormat="1" ht="15" customHeight="1">
      <c r="B314" s="110"/>
      <c r="C314" s="110"/>
      <c r="D314" s="110"/>
      <c r="E314" s="110"/>
      <c r="F314" s="111"/>
      <c r="G314" s="111"/>
      <c r="H314" s="112"/>
      <c r="I314" s="110"/>
      <c r="J314" s="110"/>
      <c r="K314" s="110"/>
    </row>
    <row r="315" spans="2:11" s="99" customFormat="1" ht="15" customHeight="1">
      <c r="B315" s="110"/>
      <c r="C315" s="110"/>
      <c r="D315" s="110"/>
      <c r="E315" s="110"/>
      <c r="F315" s="111"/>
      <c r="G315" s="111"/>
      <c r="H315" s="112"/>
      <c r="I315" s="110"/>
      <c r="J315" s="110"/>
      <c r="K315" s="110"/>
    </row>
    <row r="316" spans="2:11" s="99" customFormat="1" ht="15" customHeight="1">
      <c r="B316" s="110"/>
      <c r="C316" s="110"/>
      <c r="D316" s="110"/>
      <c r="E316" s="110"/>
      <c r="F316" s="111"/>
      <c r="G316" s="111"/>
      <c r="H316" s="112"/>
      <c r="I316" s="110"/>
      <c r="J316" s="110"/>
      <c r="K316" s="110"/>
    </row>
    <row r="317" spans="2:11" s="99" customFormat="1" ht="15" customHeight="1">
      <c r="B317" s="110"/>
      <c r="C317" s="110"/>
      <c r="D317" s="110"/>
      <c r="E317" s="110"/>
      <c r="F317" s="111"/>
      <c r="G317" s="111"/>
      <c r="H317" s="112"/>
      <c r="I317" s="110"/>
      <c r="J317" s="110"/>
      <c r="K317" s="110"/>
    </row>
    <row r="318" spans="2:11" s="99" customFormat="1" ht="15" customHeight="1">
      <c r="B318" s="110"/>
      <c r="C318" s="110"/>
      <c r="D318" s="110"/>
      <c r="E318" s="110"/>
      <c r="F318" s="111"/>
      <c r="G318" s="111"/>
      <c r="H318" s="112"/>
      <c r="I318" s="110"/>
      <c r="J318" s="110"/>
      <c r="K318" s="110"/>
    </row>
    <row r="319" spans="2:11" s="99" customFormat="1" ht="15" customHeight="1">
      <c r="B319" s="110"/>
      <c r="C319" s="110"/>
      <c r="D319" s="110"/>
      <c r="E319" s="110"/>
      <c r="F319" s="111"/>
      <c r="G319" s="111"/>
      <c r="H319" s="112"/>
      <c r="I319" s="110"/>
      <c r="J319" s="110"/>
      <c r="K319" s="110"/>
    </row>
    <row r="320" spans="2:11" s="99" customFormat="1" ht="15" customHeight="1">
      <c r="B320" s="110"/>
      <c r="C320" s="110"/>
      <c r="D320" s="110"/>
      <c r="E320" s="110"/>
      <c r="F320" s="111"/>
      <c r="G320" s="111"/>
      <c r="H320" s="112"/>
      <c r="I320" s="110"/>
      <c r="J320" s="110"/>
      <c r="K320" s="110"/>
    </row>
    <row r="321" spans="2:11" s="99" customFormat="1" ht="15" customHeight="1">
      <c r="B321" s="110"/>
      <c r="C321" s="110"/>
      <c r="D321" s="110"/>
      <c r="E321" s="110"/>
      <c r="F321" s="111"/>
      <c r="G321" s="111"/>
      <c r="H321" s="112"/>
      <c r="I321" s="110"/>
      <c r="J321" s="110"/>
      <c r="K321" s="110"/>
    </row>
    <row r="322" spans="2:11" s="99" customFormat="1" ht="15" customHeight="1">
      <c r="B322" s="110"/>
      <c r="C322" s="110"/>
      <c r="D322" s="110"/>
      <c r="E322" s="110"/>
      <c r="F322" s="111"/>
      <c r="G322" s="111"/>
      <c r="H322" s="112"/>
      <c r="I322" s="110"/>
      <c r="J322" s="110"/>
      <c r="K322" s="110"/>
    </row>
    <row r="323" spans="2:11" s="99" customFormat="1" ht="15" customHeight="1">
      <c r="B323" s="110"/>
      <c r="C323" s="110"/>
      <c r="D323" s="110"/>
      <c r="E323" s="110"/>
      <c r="F323" s="111"/>
      <c r="G323" s="111"/>
      <c r="H323" s="112"/>
      <c r="I323" s="110"/>
      <c r="J323" s="110"/>
      <c r="K323" s="110"/>
    </row>
    <row r="324" spans="2:11" s="99" customFormat="1" ht="15" customHeight="1">
      <c r="B324" s="110"/>
      <c r="C324" s="110"/>
      <c r="D324" s="110"/>
      <c r="E324" s="110"/>
      <c r="F324" s="111"/>
      <c r="G324" s="111"/>
      <c r="H324" s="112"/>
      <c r="I324" s="110"/>
      <c r="J324" s="110"/>
      <c r="K324" s="110"/>
    </row>
    <row r="325" spans="2:11" s="99" customFormat="1" ht="15" customHeight="1">
      <c r="B325" s="110"/>
      <c r="C325" s="110"/>
      <c r="D325" s="110"/>
      <c r="E325" s="110"/>
      <c r="F325" s="111"/>
      <c r="G325" s="111"/>
      <c r="H325" s="112"/>
      <c r="I325" s="110"/>
      <c r="J325" s="110"/>
      <c r="K325" s="110"/>
    </row>
    <row r="326" spans="2:11" s="99" customFormat="1" ht="15" customHeight="1">
      <c r="B326" s="110"/>
      <c r="C326" s="110"/>
      <c r="D326" s="110"/>
      <c r="E326" s="110"/>
      <c r="F326" s="111"/>
      <c r="G326" s="111"/>
      <c r="H326" s="112"/>
      <c r="I326" s="110"/>
      <c r="J326" s="110"/>
      <c r="K326" s="110"/>
    </row>
    <row r="327" spans="2:11" s="99" customFormat="1" ht="15" customHeight="1">
      <c r="B327" s="110"/>
      <c r="C327" s="110"/>
      <c r="D327" s="110"/>
      <c r="E327" s="110"/>
      <c r="F327" s="111"/>
      <c r="G327" s="111"/>
      <c r="H327" s="112"/>
      <c r="I327" s="110"/>
      <c r="J327" s="110"/>
      <c r="K327" s="110"/>
    </row>
    <row r="328" spans="2:11" s="99" customFormat="1" ht="15" customHeight="1">
      <c r="B328" s="110"/>
      <c r="C328" s="110"/>
      <c r="D328" s="110"/>
      <c r="E328" s="110"/>
      <c r="F328" s="111"/>
      <c r="G328" s="111"/>
      <c r="H328" s="112"/>
      <c r="I328" s="110"/>
      <c r="J328" s="110"/>
      <c r="K328" s="110"/>
    </row>
    <row r="329" spans="2:11" s="99" customFormat="1" ht="15" customHeight="1">
      <c r="B329" s="110"/>
      <c r="C329" s="110"/>
      <c r="D329" s="110"/>
      <c r="E329" s="110"/>
      <c r="F329" s="111"/>
      <c r="G329" s="111"/>
      <c r="H329" s="112"/>
      <c r="I329" s="110"/>
      <c r="J329" s="110"/>
      <c r="K329" s="110"/>
    </row>
    <row r="330" spans="2:11" s="99" customFormat="1" ht="15" customHeight="1">
      <c r="B330" s="110"/>
      <c r="C330" s="110"/>
      <c r="D330" s="110"/>
      <c r="E330" s="110"/>
      <c r="F330" s="111"/>
      <c r="G330" s="111"/>
      <c r="H330" s="112"/>
      <c r="I330" s="110"/>
      <c r="J330" s="110"/>
      <c r="K330" s="110"/>
    </row>
    <row r="331" spans="2:11" s="99" customFormat="1" ht="15" customHeight="1">
      <c r="B331" s="110"/>
      <c r="C331" s="110"/>
      <c r="D331" s="110"/>
      <c r="E331" s="110"/>
      <c r="F331" s="111"/>
      <c r="G331" s="111"/>
      <c r="H331" s="112"/>
      <c r="I331" s="110"/>
      <c r="J331" s="110"/>
      <c r="K331" s="110"/>
    </row>
    <row r="332" spans="2:11" s="99" customFormat="1" ht="15" customHeight="1">
      <c r="B332" s="110"/>
      <c r="C332" s="110"/>
      <c r="D332" s="110"/>
      <c r="E332" s="110"/>
      <c r="F332" s="111"/>
      <c r="G332" s="111"/>
      <c r="H332" s="112"/>
      <c r="I332" s="110"/>
      <c r="J332" s="110"/>
      <c r="K332" s="110"/>
    </row>
    <row r="333" spans="2:11" s="99" customFormat="1" ht="15" customHeight="1">
      <c r="B333" s="110"/>
      <c r="C333" s="110"/>
      <c r="D333" s="110"/>
      <c r="E333" s="110"/>
      <c r="F333" s="111"/>
      <c r="G333" s="111"/>
      <c r="H333" s="112"/>
      <c r="I333" s="110"/>
      <c r="J333" s="110"/>
      <c r="K333" s="110"/>
    </row>
    <row r="334" spans="2:11" s="99" customFormat="1" ht="15" customHeight="1">
      <c r="B334" s="110"/>
      <c r="C334" s="110"/>
      <c r="D334" s="110"/>
      <c r="E334" s="110"/>
      <c r="F334" s="111"/>
      <c r="G334" s="111"/>
      <c r="H334" s="112"/>
      <c r="I334" s="110"/>
      <c r="J334" s="110"/>
      <c r="K334" s="110"/>
    </row>
    <row r="335" spans="2:11" s="99" customFormat="1" ht="15" customHeight="1">
      <c r="B335" s="110"/>
      <c r="C335" s="110"/>
      <c r="D335" s="110"/>
      <c r="E335" s="110"/>
      <c r="F335" s="111"/>
      <c r="G335" s="111"/>
      <c r="H335" s="112"/>
      <c r="I335" s="110"/>
      <c r="J335" s="110"/>
      <c r="K335" s="110"/>
    </row>
    <row r="336" spans="2:11" s="99" customFormat="1" ht="15" customHeight="1">
      <c r="B336" s="110"/>
      <c r="C336" s="110"/>
      <c r="D336" s="110"/>
      <c r="E336" s="110"/>
      <c r="F336" s="111"/>
      <c r="G336" s="111"/>
      <c r="H336" s="112"/>
      <c r="I336" s="110"/>
      <c r="J336" s="110"/>
      <c r="K336" s="110"/>
    </row>
    <row r="337" spans="2:11" s="99" customFormat="1" ht="15" customHeight="1">
      <c r="B337" s="110"/>
      <c r="C337" s="110"/>
      <c r="D337" s="110"/>
      <c r="E337" s="110"/>
      <c r="F337" s="111"/>
      <c r="G337" s="111"/>
      <c r="H337" s="112"/>
      <c r="I337" s="110"/>
      <c r="J337" s="110"/>
      <c r="K337" s="110"/>
    </row>
    <row r="338" spans="2:11" s="99" customFormat="1" ht="15" customHeight="1">
      <c r="B338" s="110"/>
      <c r="C338" s="110"/>
      <c r="D338" s="110"/>
      <c r="E338" s="110"/>
      <c r="F338" s="111"/>
      <c r="G338" s="111"/>
      <c r="H338" s="112"/>
      <c r="I338" s="110"/>
      <c r="J338" s="110"/>
      <c r="K338" s="110"/>
    </row>
    <row r="339" spans="2:11" s="99" customFormat="1" ht="15" customHeight="1">
      <c r="B339" s="110"/>
      <c r="C339" s="110"/>
      <c r="D339" s="110"/>
      <c r="E339" s="110"/>
      <c r="F339" s="111"/>
      <c r="G339" s="111"/>
      <c r="H339" s="112"/>
      <c r="I339" s="110"/>
      <c r="J339" s="110"/>
      <c r="K339" s="110"/>
    </row>
    <row r="340" spans="2:11" s="99" customFormat="1" ht="15" customHeight="1">
      <c r="B340" s="110"/>
      <c r="C340" s="110"/>
      <c r="D340" s="110"/>
      <c r="E340" s="110"/>
      <c r="F340" s="111"/>
      <c r="G340" s="111"/>
      <c r="H340" s="112"/>
      <c r="I340" s="110"/>
      <c r="J340" s="110"/>
      <c r="K340" s="110"/>
    </row>
    <row r="341" spans="2:11" s="99" customFormat="1" ht="15" customHeight="1">
      <c r="B341" s="110"/>
      <c r="C341" s="110"/>
      <c r="D341" s="110"/>
      <c r="E341" s="110"/>
      <c r="F341" s="111"/>
      <c r="G341" s="111"/>
      <c r="H341" s="112"/>
      <c r="I341" s="110"/>
      <c r="J341" s="110"/>
      <c r="K341" s="110"/>
    </row>
    <row r="342" spans="2:11" s="99" customFormat="1" ht="15" customHeight="1">
      <c r="B342" s="110"/>
      <c r="C342" s="110"/>
      <c r="D342" s="110"/>
      <c r="E342" s="110"/>
      <c r="F342" s="111"/>
      <c r="G342" s="111"/>
      <c r="H342" s="112"/>
      <c r="I342" s="110"/>
      <c r="J342" s="110"/>
      <c r="K342" s="110"/>
    </row>
    <row r="343" spans="2:11" s="99" customFormat="1" ht="15" customHeight="1">
      <c r="B343" s="110"/>
      <c r="C343" s="110"/>
      <c r="D343" s="110"/>
      <c r="E343" s="110"/>
      <c r="F343" s="111"/>
      <c r="G343" s="111"/>
      <c r="H343" s="112"/>
      <c r="I343" s="110"/>
      <c r="J343" s="110"/>
      <c r="K343" s="110"/>
    </row>
    <row r="344" spans="2:11" s="99" customFormat="1" ht="15" customHeight="1">
      <c r="B344" s="110"/>
      <c r="C344" s="110"/>
      <c r="D344" s="110"/>
      <c r="E344" s="110"/>
      <c r="F344" s="111"/>
      <c r="G344" s="111"/>
      <c r="H344" s="112"/>
      <c r="I344" s="110"/>
      <c r="J344" s="110"/>
      <c r="K344" s="110"/>
    </row>
    <row r="345" spans="2:11" s="99" customFormat="1" ht="15" customHeight="1">
      <c r="B345" s="110"/>
      <c r="C345" s="110"/>
      <c r="D345" s="110"/>
      <c r="E345" s="110"/>
      <c r="F345" s="111"/>
      <c r="G345" s="111"/>
      <c r="H345" s="112"/>
      <c r="I345" s="110"/>
      <c r="J345" s="110"/>
      <c r="K345" s="110"/>
    </row>
    <row r="346" spans="2:11" s="99" customFormat="1" ht="15" customHeight="1">
      <c r="B346" s="110"/>
      <c r="C346" s="110"/>
      <c r="D346" s="110"/>
      <c r="E346" s="110"/>
      <c r="F346" s="111"/>
      <c r="G346" s="111"/>
      <c r="H346" s="112"/>
      <c r="I346" s="110"/>
      <c r="J346" s="110"/>
      <c r="K346" s="110"/>
    </row>
    <row r="347" spans="2:11" s="99" customFormat="1" ht="15" customHeight="1">
      <c r="B347" s="110"/>
      <c r="C347" s="110"/>
      <c r="D347" s="110"/>
      <c r="E347" s="110"/>
      <c r="F347" s="111"/>
      <c r="G347" s="111"/>
      <c r="H347" s="112"/>
      <c r="I347" s="110"/>
      <c r="J347" s="110"/>
      <c r="K347" s="110"/>
    </row>
    <row r="348" spans="2:11" s="99" customFormat="1" ht="15" customHeight="1">
      <c r="B348" s="110"/>
      <c r="C348" s="110"/>
      <c r="D348" s="110"/>
      <c r="E348" s="110"/>
      <c r="F348" s="111"/>
      <c r="G348" s="111"/>
      <c r="H348" s="112"/>
      <c r="I348" s="110"/>
      <c r="J348" s="110"/>
      <c r="K348" s="110"/>
    </row>
    <row r="349" spans="2:11" s="99" customFormat="1" ht="15" customHeight="1">
      <c r="B349" s="110"/>
      <c r="C349" s="110"/>
      <c r="D349" s="110"/>
      <c r="E349" s="110"/>
      <c r="F349" s="111"/>
      <c r="G349" s="111"/>
      <c r="H349" s="112"/>
      <c r="I349" s="110"/>
      <c r="J349" s="110"/>
      <c r="K349" s="110"/>
    </row>
    <row r="350" spans="2:11" s="99" customFormat="1" ht="15" customHeight="1">
      <c r="B350" s="110"/>
      <c r="C350" s="110"/>
      <c r="D350" s="110"/>
      <c r="E350" s="110"/>
      <c r="F350" s="111"/>
      <c r="G350" s="111"/>
      <c r="H350" s="112"/>
      <c r="I350" s="110"/>
      <c r="J350" s="110"/>
      <c r="K350" s="110"/>
    </row>
    <row r="351" spans="2:11" s="99" customFormat="1" ht="15" customHeight="1">
      <c r="B351" s="110"/>
      <c r="C351" s="110"/>
      <c r="D351" s="110"/>
      <c r="E351" s="110"/>
      <c r="F351" s="111"/>
      <c r="G351" s="111"/>
      <c r="H351" s="112"/>
      <c r="I351" s="110"/>
      <c r="J351" s="110"/>
      <c r="K351" s="110"/>
    </row>
    <row r="352" spans="2:11" s="99" customFormat="1" ht="15" customHeight="1">
      <c r="B352" s="110"/>
      <c r="C352" s="110"/>
      <c r="D352" s="110"/>
      <c r="E352" s="110"/>
      <c r="F352" s="111"/>
      <c r="G352" s="111"/>
      <c r="H352" s="112"/>
      <c r="I352" s="110"/>
      <c r="J352" s="110"/>
      <c r="K352" s="110"/>
    </row>
    <row r="353" spans="2:11" s="99" customFormat="1" ht="15" customHeight="1">
      <c r="B353" s="110"/>
      <c r="C353" s="110"/>
      <c r="D353" s="110"/>
      <c r="E353" s="110"/>
      <c r="F353" s="111"/>
      <c r="G353" s="111"/>
      <c r="H353" s="112"/>
      <c r="I353" s="110"/>
      <c r="J353" s="110"/>
      <c r="K353" s="110"/>
    </row>
    <row r="354" spans="2:11" s="99" customFormat="1" ht="15" customHeight="1">
      <c r="B354" s="110"/>
      <c r="C354" s="110"/>
      <c r="D354" s="110"/>
      <c r="E354" s="110"/>
      <c r="F354" s="111"/>
      <c r="G354" s="111"/>
      <c r="H354" s="112"/>
      <c r="I354" s="110"/>
      <c r="J354" s="110"/>
      <c r="K354" s="110"/>
    </row>
    <row r="355" spans="2:11" s="99" customFormat="1" ht="15" customHeight="1">
      <c r="B355" s="110"/>
      <c r="C355" s="110"/>
      <c r="D355" s="110"/>
      <c r="E355" s="110"/>
      <c r="F355" s="111"/>
      <c r="G355" s="111"/>
      <c r="H355" s="112"/>
      <c r="I355" s="110"/>
      <c r="J355" s="110"/>
      <c r="K355" s="110"/>
    </row>
    <row r="356" spans="2:11" s="99" customFormat="1" ht="15" customHeight="1">
      <c r="B356" s="110"/>
      <c r="C356" s="110"/>
      <c r="D356" s="110"/>
      <c r="E356" s="110"/>
      <c r="F356" s="111"/>
      <c r="G356" s="111"/>
      <c r="H356" s="112"/>
      <c r="I356" s="110"/>
      <c r="J356" s="110"/>
      <c r="K356" s="110"/>
    </row>
    <row r="357" spans="2:11" s="99" customFormat="1" ht="15" customHeight="1">
      <c r="B357" s="110"/>
      <c r="C357" s="110"/>
      <c r="D357" s="110"/>
      <c r="E357" s="110"/>
      <c r="F357" s="111"/>
      <c r="G357" s="111"/>
      <c r="H357" s="112"/>
      <c r="I357" s="110"/>
      <c r="J357" s="110"/>
      <c r="K357" s="110"/>
    </row>
    <row r="358" spans="2:11" s="99" customFormat="1" ht="15" customHeight="1">
      <c r="B358" s="110"/>
      <c r="C358" s="110"/>
      <c r="D358" s="110"/>
      <c r="E358" s="110"/>
      <c r="F358" s="111"/>
      <c r="G358" s="111"/>
      <c r="H358" s="112"/>
      <c r="I358" s="110"/>
      <c r="J358" s="110"/>
      <c r="K358" s="110"/>
    </row>
    <row r="359" spans="2:11" s="99" customFormat="1" ht="15" customHeight="1">
      <c r="B359" s="110"/>
      <c r="C359" s="110"/>
      <c r="D359" s="110"/>
      <c r="E359" s="110"/>
      <c r="F359" s="111"/>
      <c r="G359" s="111"/>
      <c r="H359" s="112"/>
      <c r="I359" s="110"/>
      <c r="J359" s="110"/>
      <c r="K359" s="110"/>
    </row>
    <row r="360" spans="2:11" s="99" customFormat="1" ht="15" customHeight="1">
      <c r="B360" s="110"/>
      <c r="C360" s="110"/>
      <c r="D360" s="110"/>
      <c r="E360" s="110"/>
      <c r="F360" s="111"/>
      <c r="G360" s="111"/>
      <c r="H360" s="112"/>
      <c r="I360" s="110"/>
      <c r="J360" s="110"/>
      <c r="K360" s="110"/>
    </row>
    <row r="361" spans="2:11" s="99" customFormat="1" ht="15" customHeight="1">
      <c r="B361" s="110"/>
      <c r="C361" s="110"/>
      <c r="D361" s="110"/>
      <c r="E361" s="110"/>
      <c r="F361" s="111"/>
      <c r="G361" s="111"/>
      <c r="H361" s="112"/>
      <c r="I361" s="110"/>
      <c r="J361" s="110"/>
      <c r="K361" s="110"/>
    </row>
    <row r="362" spans="2:11" s="99" customFormat="1" ht="15" customHeight="1">
      <c r="B362" s="110"/>
      <c r="C362" s="110"/>
      <c r="D362" s="110"/>
      <c r="E362" s="110"/>
      <c r="F362" s="111"/>
      <c r="G362" s="111"/>
      <c r="H362" s="112"/>
      <c r="I362" s="110"/>
      <c r="J362" s="110"/>
      <c r="K362" s="110"/>
    </row>
  </sheetData>
  <sheetProtection/>
  <mergeCells count="9">
    <mergeCell ref="A2:N2"/>
    <mergeCell ref="C4:E4"/>
    <mergeCell ref="I4:K4"/>
    <mergeCell ref="L4:N4"/>
    <mergeCell ref="A4:A5"/>
    <mergeCell ref="B4:B5"/>
    <mergeCell ref="F4:F5"/>
    <mergeCell ref="G4:G5"/>
    <mergeCell ref="H4:H5"/>
  </mergeCells>
  <printOptions horizontalCentered="1"/>
  <pageMargins left="0.39305555555555555" right="0.39305555555555555" top="0.5902777777777778" bottom="0.7868055555555555" header="0.5" footer="0.5"/>
  <pageSetup fitToHeight="0" fitToWidth="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F258"/>
  <sheetViews>
    <sheetView zoomScale="85" zoomScaleNormal="85" zoomScaleSheetLayoutView="100" workbookViewId="0" topLeftCell="A10">
      <selection activeCell="Q24" sqref="Q24"/>
    </sheetView>
  </sheetViews>
  <sheetFormatPr defaultColWidth="9.00390625" defaultRowHeight="15" customHeight="1"/>
  <cols>
    <col min="1" max="1" width="7.00390625" style="56" customWidth="1"/>
    <col min="2" max="2" width="16.00390625" style="50" customWidth="1"/>
    <col min="3" max="8" width="7.875" style="50" customWidth="1"/>
    <col min="9" max="9" width="6.75390625" style="57" customWidth="1"/>
    <col min="10" max="10" width="5.50390625" style="57" customWidth="1"/>
    <col min="11" max="11" width="4.75390625" style="57" customWidth="1"/>
    <col min="12" max="12" width="5.875" style="57" customWidth="1"/>
    <col min="13" max="14" width="4.25390625" style="57" customWidth="1"/>
    <col min="15" max="15" width="6.625" style="57" customWidth="1"/>
    <col min="16" max="16" width="6.625" style="58" customWidth="1"/>
    <col min="17" max="17" width="6.625" style="59" customWidth="1"/>
    <col min="18" max="24" width="6.625" style="50" customWidth="1"/>
    <col min="25" max="25" width="7.625" style="50" customWidth="1"/>
    <col min="26" max="26" width="8.875" style="50" customWidth="1"/>
    <col min="27" max="27" width="9.875" style="50" customWidth="1"/>
    <col min="28" max="28" width="9.875" style="50" hidden="1" customWidth="1"/>
    <col min="29" max="29" width="9.375" style="50" hidden="1" customWidth="1"/>
    <col min="30" max="30" width="8.75390625" style="50" hidden="1" customWidth="1"/>
    <col min="31" max="31" width="8.25390625" style="50" hidden="1" customWidth="1"/>
    <col min="32" max="33" width="9.00390625" style="50" hidden="1" customWidth="1"/>
    <col min="34" max="34" width="7.375" style="50" hidden="1" customWidth="1"/>
    <col min="35" max="35" width="9.00390625" style="50" hidden="1" customWidth="1"/>
    <col min="36" max="36" width="12.25390625" style="50" hidden="1" customWidth="1"/>
    <col min="37" max="37" width="9.00390625" style="50" hidden="1" customWidth="1"/>
    <col min="38" max="38" width="10.625" style="50" bestFit="1" customWidth="1"/>
    <col min="39" max="225" width="9.00390625" style="50" customWidth="1"/>
    <col min="226" max="226" width="12.75390625" style="50" bestFit="1" customWidth="1"/>
    <col min="227" max="228" width="9.00390625" style="50" customWidth="1"/>
    <col min="229" max="16384" width="9.00390625" style="56" customWidth="1"/>
  </cols>
  <sheetData>
    <row r="1" ht="15" customHeight="1">
      <c r="A1" s="60" t="s">
        <v>298</v>
      </c>
    </row>
    <row r="2" spans="1:240" s="50" customFormat="1" ht="24" customHeight="1">
      <c r="A2" s="61" t="s">
        <v>299</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HU2" s="56"/>
      <c r="HV2" s="56"/>
      <c r="HW2" s="56"/>
      <c r="HX2" s="56"/>
      <c r="HY2" s="56"/>
      <c r="HZ2" s="56"/>
      <c r="IA2" s="56"/>
      <c r="IB2" s="56"/>
      <c r="IC2" s="56"/>
      <c r="ID2" s="56"/>
      <c r="IE2" s="56"/>
      <c r="IF2" s="56"/>
    </row>
    <row r="3" spans="1:240" s="50" customFormat="1" ht="24" customHeight="1">
      <c r="A3" s="61"/>
      <c r="B3" s="61"/>
      <c r="C3" s="61"/>
      <c r="D3" s="61"/>
      <c r="E3" s="61"/>
      <c r="F3" s="61"/>
      <c r="G3" s="61"/>
      <c r="H3" s="61"/>
      <c r="I3" s="73"/>
      <c r="J3" s="73"/>
      <c r="K3" s="73"/>
      <c r="L3" s="73"/>
      <c r="M3" s="73"/>
      <c r="N3" s="73"/>
      <c r="O3" s="73"/>
      <c r="P3" s="61"/>
      <c r="Q3" s="61"/>
      <c r="R3" s="61"/>
      <c r="S3" s="61"/>
      <c r="T3" s="61"/>
      <c r="U3" s="78"/>
      <c r="Z3" s="50" t="s">
        <v>300</v>
      </c>
      <c r="AK3" s="78"/>
      <c r="HU3" s="56"/>
      <c r="HV3" s="56"/>
      <c r="HW3" s="56"/>
      <c r="HX3" s="56"/>
      <c r="HY3" s="56"/>
      <c r="HZ3" s="56"/>
      <c r="IA3" s="56"/>
      <c r="IB3" s="56"/>
      <c r="IC3" s="56"/>
      <c r="ID3" s="56"/>
      <c r="IE3" s="56"/>
      <c r="IF3" s="56"/>
    </row>
    <row r="4" spans="1:228" s="51" customFormat="1" ht="36" customHeight="1">
      <c r="A4" s="62" t="s">
        <v>3</v>
      </c>
      <c r="B4" s="63" t="s">
        <v>4</v>
      </c>
      <c r="C4" s="63" t="s">
        <v>18</v>
      </c>
      <c r="D4" s="63"/>
      <c r="E4" s="63"/>
      <c r="F4" s="63" t="s">
        <v>17</v>
      </c>
      <c r="G4" s="63"/>
      <c r="H4" s="63"/>
      <c r="I4" s="63" t="s">
        <v>301</v>
      </c>
      <c r="J4" s="63"/>
      <c r="K4" s="63"/>
      <c r="L4" s="63" t="s">
        <v>302</v>
      </c>
      <c r="M4" s="63"/>
      <c r="N4" s="63"/>
      <c r="O4" s="63" t="s">
        <v>303</v>
      </c>
      <c r="P4" s="63" t="s">
        <v>304</v>
      </c>
      <c r="Q4" s="63"/>
      <c r="R4" s="63"/>
      <c r="S4" s="63" t="s">
        <v>305</v>
      </c>
      <c r="T4" s="63"/>
      <c r="U4" s="63"/>
      <c r="V4" s="63" t="s">
        <v>306</v>
      </c>
      <c r="W4" s="63"/>
      <c r="X4" s="63"/>
      <c r="Y4" s="63" t="s">
        <v>307</v>
      </c>
      <c r="Z4" s="63"/>
      <c r="AA4" s="63"/>
      <c r="AB4" s="81" t="s">
        <v>308</v>
      </c>
      <c r="AC4" s="81"/>
      <c r="AD4" s="81"/>
      <c r="AE4" s="82" t="s">
        <v>309</v>
      </c>
      <c r="AF4" s="82"/>
      <c r="AG4" s="82"/>
      <c r="AH4" s="82" t="s">
        <v>310</v>
      </c>
      <c r="AI4" s="82"/>
      <c r="AJ4" s="82"/>
      <c r="AK4" s="82"/>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row>
    <row r="5" spans="1:228" s="51" customFormat="1" ht="45" customHeight="1">
      <c r="A5" s="62"/>
      <c r="B5" s="63"/>
      <c r="C5" s="63" t="s">
        <v>273</v>
      </c>
      <c r="D5" s="63" t="s">
        <v>274</v>
      </c>
      <c r="E5" s="63" t="s">
        <v>275</v>
      </c>
      <c r="F5" s="63" t="s">
        <v>273</v>
      </c>
      <c r="G5" s="63" t="s">
        <v>274</v>
      </c>
      <c r="H5" s="63" t="s">
        <v>275</v>
      </c>
      <c r="I5" s="63" t="s">
        <v>174</v>
      </c>
      <c r="J5" s="63" t="s">
        <v>311</v>
      </c>
      <c r="K5" s="63" t="s">
        <v>312</v>
      </c>
      <c r="L5" s="63" t="s">
        <v>174</v>
      </c>
      <c r="M5" s="63" t="s">
        <v>311</v>
      </c>
      <c r="N5" s="63" t="s">
        <v>312</v>
      </c>
      <c r="O5" s="63"/>
      <c r="P5" s="63" t="s">
        <v>174</v>
      </c>
      <c r="Q5" s="63" t="s">
        <v>313</v>
      </c>
      <c r="R5" s="65" t="s">
        <v>314</v>
      </c>
      <c r="S5" s="63" t="s">
        <v>174</v>
      </c>
      <c r="T5" s="63" t="s">
        <v>313</v>
      </c>
      <c r="U5" s="65" t="s">
        <v>314</v>
      </c>
      <c r="V5" s="63" t="s">
        <v>174</v>
      </c>
      <c r="W5" s="63" t="s">
        <v>313</v>
      </c>
      <c r="X5" s="65" t="s">
        <v>314</v>
      </c>
      <c r="Y5" s="63" t="s">
        <v>174</v>
      </c>
      <c r="Z5" s="63" t="s">
        <v>313</v>
      </c>
      <c r="AA5" s="65" t="s">
        <v>314</v>
      </c>
      <c r="AB5" s="81" t="s">
        <v>174</v>
      </c>
      <c r="AC5" s="81" t="s">
        <v>315</v>
      </c>
      <c r="AD5" s="82" t="s">
        <v>316</v>
      </c>
      <c r="AE5" s="81" t="s">
        <v>317</v>
      </c>
      <c r="AF5" s="82" t="s">
        <v>318</v>
      </c>
      <c r="AG5" s="82" t="s">
        <v>316</v>
      </c>
      <c r="AH5" s="81" t="s">
        <v>319</v>
      </c>
      <c r="AI5" s="81" t="s">
        <v>320</v>
      </c>
      <c r="AJ5" s="82" t="s">
        <v>318</v>
      </c>
      <c r="AK5" s="82" t="s">
        <v>316</v>
      </c>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row>
    <row r="6" spans="1:228" s="52" customFormat="1" ht="34.5" customHeight="1">
      <c r="A6" s="64" t="s">
        <v>22</v>
      </c>
      <c r="B6" s="64"/>
      <c r="C6" s="64" t="s">
        <v>23</v>
      </c>
      <c r="D6" s="64" t="s">
        <v>24</v>
      </c>
      <c r="E6" s="64" t="s">
        <v>178</v>
      </c>
      <c r="F6" s="64" t="s">
        <v>26</v>
      </c>
      <c r="G6" s="64" t="s">
        <v>276</v>
      </c>
      <c r="H6" s="64" t="s">
        <v>28</v>
      </c>
      <c r="I6" s="64" t="s">
        <v>321</v>
      </c>
      <c r="J6" s="64" t="s">
        <v>30</v>
      </c>
      <c r="K6" s="64" t="s">
        <v>31</v>
      </c>
      <c r="L6" s="64" t="s">
        <v>322</v>
      </c>
      <c r="M6" s="64" t="s">
        <v>33</v>
      </c>
      <c r="N6" s="64" t="s">
        <v>323</v>
      </c>
      <c r="O6" s="64"/>
      <c r="P6" s="64" t="s">
        <v>324</v>
      </c>
      <c r="Q6" s="64" t="s">
        <v>325</v>
      </c>
      <c r="R6" s="64" t="s">
        <v>326</v>
      </c>
      <c r="S6" s="64" t="s">
        <v>327</v>
      </c>
      <c r="T6" s="64" t="s">
        <v>328</v>
      </c>
      <c r="U6" s="64" t="s">
        <v>329</v>
      </c>
      <c r="V6" s="64" t="s">
        <v>330</v>
      </c>
      <c r="W6" s="64" t="s">
        <v>331</v>
      </c>
      <c r="X6" s="64" t="s">
        <v>332</v>
      </c>
      <c r="Y6" s="64" t="s">
        <v>333</v>
      </c>
      <c r="Z6" s="64" t="s">
        <v>334</v>
      </c>
      <c r="AA6" s="64" t="s">
        <v>335</v>
      </c>
      <c r="AB6" s="83"/>
      <c r="AC6" s="83"/>
      <c r="AD6" s="83"/>
      <c r="AE6" s="84"/>
      <c r="AF6" s="84"/>
      <c r="AG6" s="84"/>
      <c r="AH6" s="94"/>
      <c r="AI6" s="84"/>
      <c r="AJ6" s="84"/>
      <c r="AK6" s="84"/>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row>
    <row r="7" spans="1:228" s="53" customFormat="1" ht="21.75" customHeight="1">
      <c r="A7" s="65"/>
      <c r="B7" s="63" t="s">
        <v>283</v>
      </c>
      <c r="C7" s="66">
        <f aca="true" t="shared" si="0" ref="C7:H7">C8+C16</f>
        <v>1093361</v>
      </c>
      <c r="D7" s="66">
        <f t="shared" si="0"/>
        <v>1031723</v>
      </c>
      <c r="E7" s="66">
        <f t="shared" si="0"/>
        <v>983267</v>
      </c>
      <c r="F7" s="66">
        <f t="shared" si="0"/>
        <v>873518</v>
      </c>
      <c r="G7" s="66">
        <f t="shared" si="0"/>
        <v>824882</v>
      </c>
      <c r="H7" s="66">
        <f t="shared" si="0"/>
        <v>786459</v>
      </c>
      <c r="I7" s="74">
        <f aca="true" t="shared" si="1" ref="I7:I15">J7+K7</f>
        <v>214</v>
      </c>
      <c r="J7" s="74">
        <v>130</v>
      </c>
      <c r="K7" s="74">
        <v>84</v>
      </c>
      <c r="L7" s="74">
        <f aca="true" t="shared" si="2" ref="L7:L16">M7+N7</f>
        <v>620</v>
      </c>
      <c r="M7" s="74">
        <v>370</v>
      </c>
      <c r="N7" s="74">
        <v>250</v>
      </c>
      <c r="O7" s="66">
        <f>O8+O17+O16</f>
        <v>90</v>
      </c>
      <c r="P7" s="66">
        <f>P16</f>
        <v>28621</v>
      </c>
      <c r="Q7" s="66">
        <f aca="true" t="shared" si="3" ref="Q7:AK7">Q8+Q16</f>
        <v>1500</v>
      </c>
      <c r="R7" s="66">
        <f t="shared" si="3"/>
        <v>27121</v>
      </c>
      <c r="S7" s="66">
        <f t="shared" si="3"/>
        <v>26608</v>
      </c>
      <c r="T7" s="66">
        <f t="shared" si="3"/>
        <v>1500</v>
      </c>
      <c r="U7" s="66">
        <f t="shared" si="3"/>
        <v>25108</v>
      </c>
      <c r="V7" s="66">
        <f t="shared" si="3"/>
        <v>24921</v>
      </c>
      <c r="W7" s="66">
        <f t="shared" si="3"/>
        <v>1500</v>
      </c>
      <c r="X7" s="66">
        <f t="shared" si="3"/>
        <v>23421</v>
      </c>
      <c r="Y7" s="66">
        <f t="shared" si="3"/>
        <v>80150</v>
      </c>
      <c r="Z7" s="66">
        <f t="shared" si="3"/>
        <v>4500</v>
      </c>
      <c r="AA7" s="66">
        <f t="shared" si="3"/>
        <v>75650</v>
      </c>
      <c r="AB7" s="85">
        <f t="shared" si="3"/>
        <v>220581</v>
      </c>
      <c r="AC7" s="85">
        <f t="shared" si="3"/>
        <v>75650</v>
      </c>
      <c r="AD7" s="85">
        <f t="shared" si="3"/>
        <v>144932</v>
      </c>
      <c r="AE7" s="85">
        <f t="shared" si="3"/>
        <v>46556</v>
      </c>
      <c r="AF7" s="85">
        <f t="shared" si="3"/>
        <v>15948</v>
      </c>
      <c r="AG7" s="85">
        <f t="shared" si="3"/>
        <v>30608</v>
      </c>
      <c r="AH7" s="95">
        <v>62</v>
      </c>
      <c r="AI7" s="82">
        <v>69</v>
      </c>
      <c r="AJ7" s="85">
        <f t="shared" si="3"/>
        <v>12490</v>
      </c>
      <c r="AK7" s="85">
        <f t="shared" si="3"/>
        <v>23927</v>
      </c>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row>
    <row r="8" spans="1:240" s="50" customFormat="1" ht="21" customHeight="1">
      <c r="A8" s="67"/>
      <c r="B8" s="63" t="s">
        <v>336</v>
      </c>
      <c r="C8" s="68">
        <f aca="true" t="shared" si="4" ref="C8:H8">SUM(C9:C15)</f>
        <v>455710</v>
      </c>
      <c r="D8" s="68">
        <f t="shared" si="4"/>
        <v>441936</v>
      </c>
      <c r="E8" s="68">
        <f t="shared" si="4"/>
        <v>433330</v>
      </c>
      <c r="F8" s="68">
        <f t="shared" si="4"/>
        <v>364568</v>
      </c>
      <c r="G8" s="68">
        <f t="shared" si="4"/>
        <v>353549</v>
      </c>
      <c r="H8" s="68">
        <f t="shared" si="4"/>
        <v>346664</v>
      </c>
      <c r="I8" s="74">
        <f t="shared" si="1"/>
        <v>214</v>
      </c>
      <c r="J8" s="74">
        <v>0</v>
      </c>
      <c r="K8" s="74">
        <v>214</v>
      </c>
      <c r="L8" s="74">
        <f t="shared" si="2"/>
        <v>620</v>
      </c>
      <c r="M8" s="68">
        <f>SUM(M9:M15)</f>
        <v>0</v>
      </c>
      <c r="N8" s="68">
        <v>620</v>
      </c>
      <c r="O8" s="68">
        <v>0</v>
      </c>
      <c r="P8" s="68">
        <f>SUM(P9:P15)</f>
        <v>0</v>
      </c>
      <c r="Q8" s="68">
        <f aca="true" t="shared" si="5" ref="Q8:AG8">SUM(Q9:Q15)</f>
        <v>0</v>
      </c>
      <c r="R8" s="68">
        <f t="shared" si="5"/>
        <v>0</v>
      </c>
      <c r="S8" s="68">
        <f t="shared" si="5"/>
        <v>0</v>
      </c>
      <c r="T8" s="68">
        <f t="shared" si="5"/>
        <v>0</v>
      </c>
      <c r="U8" s="68">
        <f t="shared" si="5"/>
        <v>0</v>
      </c>
      <c r="V8" s="68">
        <f t="shared" si="5"/>
        <v>0</v>
      </c>
      <c r="W8" s="68">
        <f t="shared" si="5"/>
        <v>0</v>
      </c>
      <c r="X8" s="68">
        <f t="shared" si="5"/>
        <v>0</v>
      </c>
      <c r="Y8" s="68">
        <f t="shared" si="5"/>
        <v>0</v>
      </c>
      <c r="Z8" s="68">
        <f t="shared" si="5"/>
        <v>0</v>
      </c>
      <c r="AA8" s="68">
        <f t="shared" si="5"/>
        <v>0</v>
      </c>
      <c r="AB8" s="86">
        <f t="shared" si="5"/>
        <v>94500</v>
      </c>
      <c r="AC8" s="86">
        <f t="shared" si="5"/>
        <v>0</v>
      </c>
      <c r="AD8" s="86">
        <f t="shared" si="5"/>
        <v>94500</v>
      </c>
      <c r="AE8" s="86">
        <f t="shared" si="5"/>
        <v>19976</v>
      </c>
      <c r="AF8" s="86">
        <f t="shared" si="5"/>
        <v>0</v>
      </c>
      <c r="AG8" s="86">
        <f t="shared" si="5"/>
        <v>19976</v>
      </c>
      <c r="AH8" s="95">
        <v>62</v>
      </c>
      <c r="AI8" s="82">
        <v>69</v>
      </c>
      <c r="AJ8" s="86">
        <f>SUM(AJ9:AJ15)</f>
        <v>0</v>
      </c>
      <c r="AK8" s="86">
        <f>SUM(AK9:AK15)</f>
        <v>15599</v>
      </c>
      <c r="HU8" s="98"/>
      <c r="HV8" s="98"/>
      <c r="HW8" s="98"/>
      <c r="HX8" s="98"/>
      <c r="HY8" s="98"/>
      <c r="HZ8" s="98"/>
      <c r="IA8" s="98"/>
      <c r="IB8" s="98"/>
      <c r="IC8" s="98"/>
      <c r="ID8" s="98"/>
      <c r="IE8" s="98"/>
      <c r="IF8" s="98"/>
    </row>
    <row r="9" spans="1:240" s="50" customFormat="1" ht="16.5" customHeight="1">
      <c r="A9" s="67"/>
      <c r="B9" s="64" t="s">
        <v>286</v>
      </c>
      <c r="C9" s="64">
        <f>'目标人群测算表1'!I11</f>
        <v>133196</v>
      </c>
      <c r="D9" s="64">
        <f>'目标人群测算表1'!J11</f>
        <v>122924</v>
      </c>
      <c r="E9" s="64">
        <f>'目标人群测算表1'!K11</f>
        <v>113444</v>
      </c>
      <c r="F9" s="64">
        <f>'目标人群测算表1'!L11</f>
        <v>106557</v>
      </c>
      <c r="G9" s="64">
        <f>'目标人群测算表1'!M11</f>
        <v>98339</v>
      </c>
      <c r="H9" s="64">
        <f>'目标人群测算表1'!N11</f>
        <v>90755</v>
      </c>
      <c r="I9" s="74">
        <f t="shared" si="1"/>
        <v>214</v>
      </c>
      <c r="J9" s="74">
        <v>0</v>
      </c>
      <c r="K9" s="74">
        <v>214</v>
      </c>
      <c r="L9" s="74">
        <f t="shared" si="2"/>
        <v>620</v>
      </c>
      <c r="M9" s="74">
        <v>0</v>
      </c>
      <c r="N9" s="74">
        <v>620</v>
      </c>
      <c r="O9" s="64">
        <v>0</v>
      </c>
      <c r="P9" s="64">
        <v>0</v>
      </c>
      <c r="Q9" s="75">
        <v>0</v>
      </c>
      <c r="R9" s="75">
        <f aca="true" t="shared" si="6" ref="R9:R15">ROUND((C9*$J9+F9*$M9)/10000,0)</f>
        <v>0</v>
      </c>
      <c r="S9" s="75">
        <v>0</v>
      </c>
      <c r="T9" s="75">
        <v>0</v>
      </c>
      <c r="U9" s="75">
        <f aca="true" t="shared" si="7" ref="U9:U15">ROUND((D9*$J9+G9*$M9)/10000,0)</f>
        <v>0</v>
      </c>
      <c r="V9" s="75">
        <v>0</v>
      </c>
      <c r="W9" s="75">
        <v>0</v>
      </c>
      <c r="X9" s="75">
        <f aca="true" t="shared" si="8" ref="X9:X15">ROUND((E9*$J9+H9*$M9)/10000,0)</f>
        <v>0</v>
      </c>
      <c r="Y9" s="75">
        <v>0</v>
      </c>
      <c r="Z9" s="75">
        <v>0</v>
      </c>
      <c r="AA9" s="75">
        <f aca="true" t="shared" si="9" ref="AA9:AA15">R9+U9+X9</f>
        <v>0</v>
      </c>
      <c r="AB9" s="87">
        <f>ROUND((((C9+D9+E9)*I9+(F9+G9+H9)*L9)*1)/10000,0)</f>
        <v>26239</v>
      </c>
      <c r="AC9" s="87">
        <v>0</v>
      </c>
      <c r="AD9" s="87">
        <f>ROUND((((C9+D9+E9)*K9+(F9+G9+H9)*N9)*1)/10000,0)</f>
        <v>26239</v>
      </c>
      <c r="AE9" s="88">
        <f aca="true" t="shared" si="10" ref="AE9:AE15">ROUND(((C9+D9+E9)*I9+(F9+G9+E9)*L9)*0.2/10000,0)</f>
        <v>5529</v>
      </c>
      <c r="AF9" s="88">
        <f>ROUND(AE9*0,0)</f>
        <v>0</v>
      </c>
      <c r="AG9" s="88">
        <f>ROUND(AE9*1,0)</f>
        <v>5529</v>
      </c>
      <c r="AH9" s="88">
        <v>62</v>
      </c>
      <c r="AI9" s="96">
        <v>69</v>
      </c>
      <c r="AJ9" s="97">
        <f>ROUND((62*(C9+D9+E9)+69*(F9+G9+H9))/10000*0,0)</f>
        <v>0</v>
      </c>
      <c r="AK9" s="97">
        <f>ROUND((62*(C9+D9+E9)+69*(F9+G9+H9))/10000*1,0)</f>
        <v>4331</v>
      </c>
      <c r="HU9" s="56"/>
      <c r="HV9" s="56"/>
      <c r="HW9" s="56"/>
      <c r="HX9" s="56"/>
      <c r="HY9" s="56"/>
      <c r="HZ9" s="56"/>
      <c r="IA9" s="56"/>
      <c r="IB9" s="56"/>
      <c r="IC9" s="56"/>
      <c r="ID9" s="56"/>
      <c r="IE9" s="56"/>
      <c r="IF9" s="56"/>
    </row>
    <row r="10" spans="1:240" s="50" customFormat="1" ht="16.5" customHeight="1">
      <c r="A10" s="67"/>
      <c r="B10" s="64" t="s">
        <v>287</v>
      </c>
      <c r="C10" s="64">
        <f>'目标人群测算表1'!I12</f>
        <v>112378</v>
      </c>
      <c r="D10" s="64">
        <f>'目标人群测算表1'!J12</f>
        <v>107980</v>
      </c>
      <c r="E10" s="64">
        <f>'目标人群测算表1'!K12</f>
        <v>103754</v>
      </c>
      <c r="F10" s="64">
        <f>'目标人群测算表1'!L12</f>
        <v>89902</v>
      </c>
      <c r="G10" s="64">
        <f>'目标人群测算表1'!M12</f>
        <v>86384</v>
      </c>
      <c r="H10" s="64">
        <f>'目标人群测算表1'!N12</f>
        <v>83003</v>
      </c>
      <c r="I10" s="74">
        <f t="shared" si="1"/>
        <v>214</v>
      </c>
      <c r="J10" s="74">
        <v>0</v>
      </c>
      <c r="K10" s="74">
        <v>214</v>
      </c>
      <c r="L10" s="74">
        <f t="shared" si="2"/>
        <v>620</v>
      </c>
      <c r="M10" s="74">
        <v>0</v>
      </c>
      <c r="N10" s="74">
        <v>620</v>
      </c>
      <c r="O10" s="64">
        <v>0</v>
      </c>
      <c r="P10" s="64">
        <v>0</v>
      </c>
      <c r="Q10" s="75">
        <v>0</v>
      </c>
      <c r="R10" s="75">
        <f t="shared" si="6"/>
        <v>0</v>
      </c>
      <c r="S10" s="75">
        <v>0</v>
      </c>
      <c r="T10" s="75">
        <v>0</v>
      </c>
      <c r="U10" s="75">
        <f t="shared" si="7"/>
        <v>0</v>
      </c>
      <c r="V10" s="75">
        <v>0</v>
      </c>
      <c r="W10" s="75">
        <v>0</v>
      </c>
      <c r="X10" s="75">
        <f t="shared" si="8"/>
        <v>0</v>
      </c>
      <c r="Y10" s="75">
        <v>0</v>
      </c>
      <c r="Z10" s="75">
        <v>0</v>
      </c>
      <c r="AA10" s="75">
        <f t="shared" si="9"/>
        <v>0</v>
      </c>
      <c r="AB10" s="87">
        <f aca="true" t="shared" si="11" ref="AB10:AB15">ROUND((((C10+D10+E10)*214+(F10+G10+H10)*620)*1)/10000,0)</f>
        <v>23012</v>
      </c>
      <c r="AC10" s="87">
        <f aca="true" t="shared" si="12" ref="AC10:AC15">ROUND((((C10+D10+E10)*J9+(F10+G10+H10)*M9)*1)/10000,0)</f>
        <v>0</v>
      </c>
      <c r="AD10" s="87">
        <f aca="true" t="shared" si="13" ref="AD10:AD15">ROUND((((C10+D10+E10)*K10+(F10+G10+H10)*N10)*1)/10000,0)</f>
        <v>23012</v>
      </c>
      <c r="AE10" s="88">
        <f t="shared" si="10"/>
        <v>4860</v>
      </c>
      <c r="AF10" s="88">
        <f aca="true" t="shared" si="14" ref="AF10:AF15">ROUND(AE10*0,0)</f>
        <v>0</v>
      </c>
      <c r="AG10" s="88">
        <f aca="true" t="shared" si="15" ref="AG10:AG15">ROUND(AE10*1,0)</f>
        <v>4860</v>
      </c>
      <c r="AH10" s="88">
        <v>62</v>
      </c>
      <c r="AI10" s="96">
        <v>69</v>
      </c>
      <c r="AJ10" s="97">
        <f aca="true" t="shared" si="16" ref="AJ10:AJ15">ROUND((62*(C10+D10+E10)+69*(F10+G10+H10))/10000*0,0)</f>
        <v>0</v>
      </c>
      <c r="AK10" s="97">
        <f aca="true" t="shared" si="17" ref="AK10:AK15">ROUND((62*(C10+D10+E10)+69*(F10+G10+H10))/10000*1,0)</f>
        <v>3799</v>
      </c>
      <c r="HU10" s="56"/>
      <c r="HV10" s="56"/>
      <c r="HW10" s="56"/>
      <c r="HX10" s="56"/>
      <c r="HY10" s="56"/>
      <c r="HZ10" s="56"/>
      <c r="IA10" s="56"/>
      <c r="IB10" s="56"/>
      <c r="IC10" s="56"/>
      <c r="ID10" s="56"/>
      <c r="IE10" s="56"/>
      <c r="IF10" s="56"/>
    </row>
    <row r="11" spans="1:240" s="50" customFormat="1" ht="16.5" customHeight="1">
      <c r="A11" s="67"/>
      <c r="B11" s="64" t="s">
        <v>288</v>
      </c>
      <c r="C11" s="64">
        <f>'目标人群测算表1'!I13</f>
        <v>15560</v>
      </c>
      <c r="D11" s="64">
        <f>'目标人群测算表1'!J13</f>
        <v>13535</v>
      </c>
      <c r="E11" s="64">
        <f>'目标人群测算表1'!K13</f>
        <v>11773</v>
      </c>
      <c r="F11" s="64">
        <f>'目标人群测算表1'!L13</f>
        <v>12448</v>
      </c>
      <c r="G11" s="64">
        <f>'目标人群测算表1'!M13</f>
        <v>10828</v>
      </c>
      <c r="H11" s="64">
        <f>'目标人群测算表1'!N13</f>
        <v>9418</v>
      </c>
      <c r="I11" s="74">
        <f t="shared" si="1"/>
        <v>214</v>
      </c>
      <c r="J11" s="74">
        <v>0</v>
      </c>
      <c r="K11" s="74">
        <v>214</v>
      </c>
      <c r="L11" s="74">
        <f t="shared" si="2"/>
        <v>620</v>
      </c>
      <c r="M11" s="74">
        <v>0</v>
      </c>
      <c r="N11" s="74">
        <v>620</v>
      </c>
      <c r="O11" s="64">
        <v>0</v>
      </c>
      <c r="P11" s="64">
        <v>0</v>
      </c>
      <c r="Q11" s="75">
        <v>0</v>
      </c>
      <c r="R11" s="75">
        <f t="shared" si="6"/>
        <v>0</v>
      </c>
      <c r="S11" s="75">
        <v>0</v>
      </c>
      <c r="T11" s="75">
        <v>0</v>
      </c>
      <c r="U11" s="75">
        <f t="shared" si="7"/>
        <v>0</v>
      </c>
      <c r="V11" s="75">
        <v>0</v>
      </c>
      <c r="W11" s="75">
        <v>0</v>
      </c>
      <c r="X11" s="75">
        <f t="shared" si="8"/>
        <v>0</v>
      </c>
      <c r="Y11" s="75">
        <v>0</v>
      </c>
      <c r="Z11" s="75">
        <v>0</v>
      </c>
      <c r="AA11" s="75">
        <f t="shared" si="9"/>
        <v>0</v>
      </c>
      <c r="AB11" s="87">
        <f t="shared" si="11"/>
        <v>2902</v>
      </c>
      <c r="AC11" s="87">
        <f t="shared" si="12"/>
        <v>0</v>
      </c>
      <c r="AD11" s="87">
        <f t="shared" si="13"/>
        <v>2902</v>
      </c>
      <c r="AE11" s="88">
        <f t="shared" si="10"/>
        <v>610</v>
      </c>
      <c r="AF11" s="88">
        <f t="shared" si="14"/>
        <v>0</v>
      </c>
      <c r="AG11" s="88">
        <f t="shared" si="15"/>
        <v>610</v>
      </c>
      <c r="AH11" s="88">
        <v>62</v>
      </c>
      <c r="AI11" s="96">
        <v>69</v>
      </c>
      <c r="AJ11" s="97">
        <f t="shared" si="16"/>
        <v>0</v>
      </c>
      <c r="AK11" s="97">
        <f t="shared" si="17"/>
        <v>479</v>
      </c>
      <c r="HU11" s="56"/>
      <c r="HV11" s="56"/>
      <c r="HW11" s="56"/>
      <c r="HX11" s="56"/>
      <c r="HY11" s="56"/>
      <c r="HZ11" s="56"/>
      <c r="IA11" s="56"/>
      <c r="IB11" s="56"/>
      <c r="IC11" s="56"/>
      <c r="ID11" s="56"/>
      <c r="IE11" s="56"/>
      <c r="IF11" s="56"/>
    </row>
    <row r="12" spans="1:240" s="50" customFormat="1" ht="16.5" customHeight="1">
      <c r="A12" s="67"/>
      <c r="B12" s="64" t="s">
        <v>289</v>
      </c>
      <c r="C12" s="64">
        <f>'目标人群测算表1'!I14</f>
        <v>63334</v>
      </c>
      <c r="D12" s="64">
        <f>'目标人群测算表1'!J14</f>
        <v>56755</v>
      </c>
      <c r="E12" s="64">
        <f>'目标人群测算表1'!K14</f>
        <v>50859</v>
      </c>
      <c r="F12" s="64">
        <f>'目标人群测算表1'!L14</f>
        <v>50667</v>
      </c>
      <c r="G12" s="64">
        <f>'目标人群测算表1'!M14</f>
        <v>45404</v>
      </c>
      <c r="H12" s="64">
        <f>'目标人群测算表1'!N14</f>
        <v>40687</v>
      </c>
      <c r="I12" s="74">
        <f t="shared" si="1"/>
        <v>214</v>
      </c>
      <c r="J12" s="74">
        <v>0</v>
      </c>
      <c r="K12" s="74">
        <v>214</v>
      </c>
      <c r="L12" s="74">
        <f t="shared" si="2"/>
        <v>620</v>
      </c>
      <c r="M12" s="74">
        <v>0</v>
      </c>
      <c r="N12" s="74">
        <v>620</v>
      </c>
      <c r="O12" s="64">
        <v>0</v>
      </c>
      <c r="P12" s="64">
        <v>0</v>
      </c>
      <c r="Q12" s="75">
        <v>0</v>
      </c>
      <c r="R12" s="75">
        <f t="shared" si="6"/>
        <v>0</v>
      </c>
      <c r="S12" s="75">
        <v>0</v>
      </c>
      <c r="T12" s="75">
        <v>0</v>
      </c>
      <c r="U12" s="75">
        <f t="shared" si="7"/>
        <v>0</v>
      </c>
      <c r="V12" s="75">
        <v>0</v>
      </c>
      <c r="W12" s="75">
        <v>0</v>
      </c>
      <c r="X12" s="75">
        <f t="shared" si="8"/>
        <v>0</v>
      </c>
      <c r="Y12" s="75">
        <v>0</v>
      </c>
      <c r="Z12" s="75">
        <v>0</v>
      </c>
      <c r="AA12" s="75">
        <f t="shared" si="9"/>
        <v>0</v>
      </c>
      <c r="AB12" s="87">
        <f t="shared" si="11"/>
        <v>12137</v>
      </c>
      <c r="AC12" s="87">
        <f t="shared" si="12"/>
        <v>0</v>
      </c>
      <c r="AD12" s="87">
        <f t="shared" si="13"/>
        <v>12137</v>
      </c>
      <c r="AE12" s="88">
        <f t="shared" si="10"/>
        <v>2554</v>
      </c>
      <c r="AF12" s="88">
        <f t="shared" si="14"/>
        <v>0</v>
      </c>
      <c r="AG12" s="88">
        <f t="shared" si="15"/>
        <v>2554</v>
      </c>
      <c r="AH12" s="88">
        <v>62</v>
      </c>
      <c r="AI12" s="96">
        <v>69</v>
      </c>
      <c r="AJ12" s="97">
        <f t="shared" si="16"/>
        <v>0</v>
      </c>
      <c r="AK12" s="97">
        <f t="shared" si="17"/>
        <v>2004</v>
      </c>
      <c r="HU12" s="56"/>
      <c r="HV12" s="56"/>
      <c r="HW12" s="56"/>
      <c r="HX12" s="56"/>
      <c r="HY12" s="56"/>
      <c r="HZ12" s="56"/>
      <c r="IA12" s="56"/>
      <c r="IB12" s="56"/>
      <c r="IC12" s="56"/>
      <c r="ID12" s="56"/>
      <c r="IE12" s="56"/>
      <c r="IF12" s="56"/>
    </row>
    <row r="13" spans="1:240" s="50" customFormat="1" ht="16.5" customHeight="1">
      <c r="A13" s="67"/>
      <c r="B13" s="64" t="s">
        <v>290</v>
      </c>
      <c r="C13" s="64">
        <f>'目标人群测算表1'!I15</f>
        <v>86535</v>
      </c>
      <c r="D13" s="64">
        <f>'目标人群测算表1'!J15</f>
        <v>101502</v>
      </c>
      <c r="E13" s="64">
        <f>'目标人群测算表1'!K15</f>
        <v>119057</v>
      </c>
      <c r="F13" s="64">
        <f>'目标人群测算表1'!L15</f>
        <v>69228</v>
      </c>
      <c r="G13" s="64">
        <f>'目标人群测算表1'!M15</f>
        <v>81202</v>
      </c>
      <c r="H13" s="64">
        <f>'目标人群测算表1'!N15</f>
        <v>95246</v>
      </c>
      <c r="I13" s="74">
        <f t="shared" si="1"/>
        <v>214</v>
      </c>
      <c r="J13" s="74">
        <v>0</v>
      </c>
      <c r="K13" s="74">
        <v>214</v>
      </c>
      <c r="L13" s="74">
        <f t="shared" si="2"/>
        <v>620</v>
      </c>
      <c r="M13" s="74">
        <v>0</v>
      </c>
      <c r="N13" s="74">
        <v>620</v>
      </c>
      <c r="O13" s="64">
        <v>0</v>
      </c>
      <c r="P13" s="64">
        <v>0</v>
      </c>
      <c r="Q13" s="75">
        <v>0</v>
      </c>
      <c r="R13" s="75">
        <f t="shared" si="6"/>
        <v>0</v>
      </c>
      <c r="S13" s="75">
        <v>0</v>
      </c>
      <c r="T13" s="75">
        <v>0</v>
      </c>
      <c r="U13" s="75">
        <f t="shared" si="7"/>
        <v>0</v>
      </c>
      <c r="V13" s="75">
        <v>0</v>
      </c>
      <c r="W13" s="75">
        <v>0</v>
      </c>
      <c r="X13" s="75">
        <f t="shared" si="8"/>
        <v>0</v>
      </c>
      <c r="Y13" s="75">
        <v>0</v>
      </c>
      <c r="Z13" s="75">
        <v>0</v>
      </c>
      <c r="AA13" s="75">
        <f t="shared" si="9"/>
        <v>0</v>
      </c>
      <c r="AB13" s="87">
        <f t="shared" si="11"/>
        <v>21804</v>
      </c>
      <c r="AC13" s="87">
        <f t="shared" si="12"/>
        <v>0</v>
      </c>
      <c r="AD13" s="87">
        <f t="shared" si="13"/>
        <v>21804</v>
      </c>
      <c r="AE13" s="88">
        <f t="shared" si="10"/>
        <v>4656</v>
      </c>
      <c r="AF13" s="88">
        <f t="shared" si="14"/>
        <v>0</v>
      </c>
      <c r="AG13" s="88">
        <f t="shared" si="15"/>
        <v>4656</v>
      </c>
      <c r="AH13" s="88">
        <v>62</v>
      </c>
      <c r="AI13" s="96">
        <v>69</v>
      </c>
      <c r="AJ13" s="97">
        <f t="shared" si="16"/>
        <v>0</v>
      </c>
      <c r="AK13" s="97">
        <f t="shared" si="17"/>
        <v>3599</v>
      </c>
      <c r="HU13" s="56"/>
      <c r="HV13" s="56"/>
      <c r="HW13" s="56"/>
      <c r="HX13" s="56"/>
      <c r="HY13" s="56"/>
      <c r="HZ13" s="56"/>
      <c r="IA13" s="56"/>
      <c r="IB13" s="56"/>
      <c r="IC13" s="56"/>
      <c r="ID13" s="56"/>
      <c r="IE13" s="56"/>
      <c r="IF13" s="56"/>
    </row>
    <row r="14" spans="1:240" s="50" customFormat="1" ht="16.5" customHeight="1">
      <c r="A14" s="67"/>
      <c r="B14" s="64" t="s">
        <v>291</v>
      </c>
      <c r="C14" s="64">
        <f>'目标人群测算表1'!I16</f>
        <v>26446</v>
      </c>
      <c r="D14" s="64">
        <f>'目标人群测算表1'!J16</f>
        <v>23322</v>
      </c>
      <c r="E14" s="64">
        <f>'目标人群测算表1'!K16</f>
        <v>20567</v>
      </c>
      <c r="F14" s="64">
        <f>'目标人群测算表1'!L16</f>
        <v>21157</v>
      </c>
      <c r="G14" s="64">
        <f>'目标人群测算表1'!M16</f>
        <v>18658</v>
      </c>
      <c r="H14" s="64">
        <f>'目标人群测算表1'!N16</f>
        <v>16454</v>
      </c>
      <c r="I14" s="74">
        <f t="shared" si="1"/>
        <v>214</v>
      </c>
      <c r="J14" s="74">
        <v>0</v>
      </c>
      <c r="K14" s="74">
        <v>214</v>
      </c>
      <c r="L14" s="74">
        <f t="shared" si="2"/>
        <v>620</v>
      </c>
      <c r="M14" s="74">
        <v>0</v>
      </c>
      <c r="N14" s="74">
        <v>620</v>
      </c>
      <c r="O14" s="64">
        <v>0</v>
      </c>
      <c r="P14" s="64">
        <v>0</v>
      </c>
      <c r="Q14" s="75">
        <v>0</v>
      </c>
      <c r="R14" s="75">
        <f t="shared" si="6"/>
        <v>0</v>
      </c>
      <c r="S14" s="75">
        <v>0</v>
      </c>
      <c r="T14" s="75">
        <v>0</v>
      </c>
      <c r="U14" s="75">
        <f t="shared" si="7"/>
        <v>0</v>
      </c>
      <c r="V14" s="75">
        <v>0</v>
      </c>
      <c r="W14" s="75">
        <v>0</v>
      </c>
      <c r="X14" s="75">
        <f t="shared" si="8"/>
        <v>0</v>
      </c>
      <c r="Y14" s="75">
        <v>0</v>
      </c>
      <c r="Z14" s="75">
        <v>0</v>
      </c>
      <c r="AA14" s="75">
        <f t="shared" si="9"/>
        <v>0</v>
      </c>
      <c r="AB14" s="87">
        <f t="shared" si="11"/>
        <v>4994</v>
      </c>
      <c r="AC14" s="87">
        <f t="shared" si="12"/>
        <v>0</v>
      </c>
      <c r="AD14" s="87">
        <f t="shared" si="13"/>
        <v>4994</v>
      </c>
      <c r="AE14" s="88">
        <f t="shared" si="10"/>
        <v>1050</v>
      </c>
      <c r="AF14" s="88">
        <f t="shared" si="14"/>
        <v>0</v>
      </c>
      <c r="AG14" s="88">
        <f t="shared" si="15"/>
        <v>1050</v>
      </c>
      <c r="AH14" s="88">
        <v>62</v>
      </c>
      <c r="AI14" s="96">
        <v>69</v>
      </c>
      <c r="AJ14" s="97">
        <f t="shared" si="16"/>
        <v>0</v>
      </c>
      <c r="AK14" s="97">
        <f t="shared" si="17"/>
        <v>824</v>
      </c>
      <c r="HU14" s="56"/>
      <c r="HV14" s="56"/>
      <c r="HW14" s="56"/>
      <c r="HX14" s="56"/>
      <c r="HY14" s="56"/>
      <c r="HZ14" s="56"/>
      <c r="IA14" s="56"/>
      <c r="IB14" s="56"/>
      <c r="IC14" s="56"/>
      <c r="ID14" s="56"/>
      <c r="IE14" s="56"/>
      <c r="IF14" s="56"/>
    </row>
    <row r="15" spans="1:240" s="50" customFormat="1" ht="24" customHeight="1">
      <c r="A15" s="67"/>
      <c r="B15" s="64" t="s">
        <v>292</v>
      </c>
      <c r="C15" s="64">
        <f>'目标人群测算表1'!I17</f>
        <v>18261</v>
      </c>
      <c r="D15" s="64">
        <f>'目标人群测算表1'!J17</f>
        <v>15918</v>
      </c>
      <c r="E15" s="64">
        <f>'目标人群测算表1'!K17</f>
        <v>13876</v>
      </c>
      <c r="F15" s="64">
        <f>'目标人群测算表1'!L17</f>
        <v>14609</v>
      </c>
      <c r="G15" s="64">
        <f>'目标人群测算表1'!M17</f>
        <v>12734</v>
      </c>
      <c r="H15" s="64">
        <f>'目标人群测算表1'!N17</f>
        <v>11101</v>
      </c>
      <c r="I15" s="74">
        <f t="shared" si="1"/>
        <v>214</v>
      </c>
      <c r="J15" s="74">
        <v>0</v>
      </c>
      <c r="K15" s="74">
        <v>214</v>
      </c>
      <c r="L15" s="74">
        <f t="shared" si="2"/>
        <v>620</v>
      </c>
      <c r="M15" s="74">
        <v>0</v>
      </c>
      <c r="N15" s="74">
        <v>620</v>
      </c>
      <c r="O15" s="64">
        <f>SUM(O34:O36)</f>
        <v>0</v>
      </c>
      <c r="P15" s="64">
        <f>SUM(P34:P36)</f>
        <v>0</v>
      </c>
      <c r="Q15" s="75">
        <v>0</v>
      </c>
      <c r="R15" s="75">
        <f t="shared" si="6"/>
        <v>0</v>
      </c>
      <c r="S15" s="75">
        <v>0</v>
      </c>
      <c r="T15" s="75">
        <v>0</v>
      </c>
      <c r="U15" s="75">
        <f t="shared" si="7"/>
        <v>0</v>
      </c>
      <c r="V15" s="75">
        <v>0</v>
      </c>
      <c r="W15" s="75">
        <v>0</v>
      </c>
      <c r="X15" s="75">
        <f t="shared" si="8"/>
        <v>0</v>
      </c>
      <c r="Y15" s="75">
        <v>0</v>
      </c>
      <c r="Z15" s="75">
        <v>0</v>
      </c>
      <c r="AA15" s="75">
        <f t="shared" si="9"/>
        <v>0</v>
      </c>
      <c r="AB15" s="87">
        <f t="shared" si="11"/>
        <v>3412</v>
      </c>
      <c r="AC15" s="87">
        <f t="shared" si="12"/>
        <v>0</v>
      </c>
      <c r="AD15" s="87">
        <f t="shared" si="13"/>
        <v>3412</v>
      </c>
      <c r="AE15" s="88">
        <f t="shared" si="10"/>
        <v>717</v>
      </c>
      <c r="AF15" s="88">
        <f t="shared" si="14"/>
        <v>0</v>
      </c>
      <c r="AG15" s="88">
        <f t="shared" si="15"/>
        <v>717</v>
      </c>
      <c r="AH15" s="88">
        <v>62</v>
      </c>
      <c r="AI15" s="96">
        <v>69</v>
      </c>
      <c r="AJ15" s="97">
        <f t="shared" si="16"/>
        <v>0</v>
      </c>
      <c r="AK15" s="97">
        <f t="shared" si="17"/>
        <v>563</v>
      </c>
      <c r="HU15" s="56"/>
      <c r="HV15" s="56"/>
      <c r="HW15" s="56"/>
      <c r="HX15" s="56"/>
      <c r="HY15" s="56"/>
      <c r="HZ15" s="56"/>
      <c r="IA15" s="56"/>
      <c r="IB15" s="56"/>
      <c r="IC15" s="56"/>
      <c r="ID15" s="56"/>
      <c r="IE15" s="56"/>
      <c r="IF15" s="56"/>
    </row>
    <row r="16" spans="1:240" s="54" customFormat="1" ht="21" customHeight="1">
      <c r="A16" s="65"/>
      <c r="B16" s="63" t="s">
        <v>337</v>
      </c>
      <c r="C16" s="66">
        <f aca="true" t="shared" si="18" ref="C16:H16">SUM(C19:C33)</f>
        <v>637651</v>
      </c>
      <c r="D16" s="66">
        <f t="shared" si="18"/>
        <v>589787</v>
      </c>
      <c r="E16" s="66">
        <f t="shared" si="18"/>
        <v>549937</v>
      </c>
      <c r="F16" s="66">
        <f t="shared" si="18"/>
        <v>508950</v>
      </c>
      <c r="G16" s="66">
        <f t="shared" si="18"/>
        <v>471333</v>
      </c>
      <c r="H16" s="66">
        <f t="shared" si="18"/>
        <v>439795</v>
      </c>
      <c r="I16" s="66">
        <v>214</v>
      </c>
      <c r="J16" s="74">
        <v>130</v>
      </c>
      <c r="K16" s="74">
        <v>84</v>
      </c>
      <c r="L16" s="66">
        <f t="shared" si="2"/>
        <v>620</v>
      </c>
      <c r="M16" s="74">
        <v>370</v>
      </c>
      <c r="N16" s="74">
        <v>250</v>
      </c>
      <c r="O16" s="66">
        <f>SUM(O19:O33)</f>
        <v>90</v>
      </c>
      <c r="P16" s="66">
        <f aca="true" t="shared" si="19" ref="P16:AK16">SUM(P18:P33)</f>
        <v>28621</v>
      </c>
      <c r="Q16" s="66">
        <f t="shared" si="19"/>
        <v>1500</v>
      </c>
      <c r="R16" s="66">
        <f t="shared" si="19"/>
        <v>27121</v>
      </c>
      <c r="S16" s="66">
        <f t="shared" si="19"/>
        <v>26608</v>
      </c>
      <c r="T16" s="66">
        <f t="shared" si="19"/>
        <v>1500</v>
      </c>
      <c r="U16" s="66">
        <f t="shared" si="19"/>
        <v>25108</v>
      </c>
      <c r="V16" s="66">
        <f t="shared" si="19"/>
        <v>24921</v>
      </c>
      <c r="W16" s="66">
        <f t="shared" si="19"/>
        <v>1500</v>
      </c>
      <c r="X16" s="66">
        <f t="shared" si="19"/>
        <v>23421</v>
      </c>
      <c r="Y16" s="66">
        <f t="shared" si="19"/>
        <v>80150</v>
      </c>
      <c r="Z16" s="66">
        <f t="shared" si="19"/>
        <v>4500</v>
      </c>
      <c r="AA16" s="66">
        <f t="shared" si="19"/>
        <v>75650</v>
      </c>
      <c r="AB16" s="85">
        <f t="shared" si="19"/>
        <v>126081</v>
      </c>
      <c r="AC16" s="85">
        <f t="shared" si="19"/>
        <v>75650</v>
      </c>
      <c r="AD16" s="85">
        <f t="shared" si="19"/>
        <v>50432</v>
      </c>
      <c r="AE16" s="85">
        <f t="shared" si="19"/>
        <v>26580</v>
      </c>
      <c r="AF16" s="85">
        <f t="shared" si="19"/>
        <v>15948</v>
      </c>
      <c r="AG16" s="85">
        <f t="shared" si="19"/>
        <v>10632</v>
      </c>
      <c r="AH16" s="95">
        <v>62</v>
      </c>
      <c r="AI16" s="82">
        <v>69</v>
      </c>
      <c r="AJ16" s="85">
        <f t="shared" si="19"/>
        <v>12490</v>
      </c>
      <c r="AK16" s="85">
        <f t="shared" si="19"/>
        <v>8328</v>
      </c>
      <c r="HU16" s="53"/>
      <c r="HV16" s="53"/>
      <c r="HW16" s="53"/>
      <c r="HX16" s="53"/>
      <c r="HY16" s="53"/>
      <c r="HZ16" s="53"/>
      <c r="IA16" s="53"/>
      <c r="IB16" s="53"/>
      <c r="IC16" s="53"/>
      <c r="ID16" s="53"/>
      <c r="IE16" s="53"/>
      <c r="IF16" s="53"/>
    </row>
    <row r="17" spans="1:228" s="53" customFormat="1" ht="16.5" customHeight="1">
      <c r="A17" s="65"/>
      <c r="B17" s="63" t="s">
        <v>284</v>
      </c>
      <c r="C17" s="69">
        <f>C18</f>
        <v>0</v>
      </c>
      <c r="D17" s="69">
        <f aca="true" t="shared" si="20" ref="D17:AK17">D18</f>
        <v>0</v>
      </c>
      <c r="E17" s="69">
        <f t="shared" si="20"/>
        <v>0</v>
      </c>
      <c r="F17" s="69">
        <f t="shared" si="20"/>
        <v>0</v>
      </c>
      <c r="G17" s="69">
        <f t="shared" si="20"/>
        <v>0</v>
      </c>
      <c r="H17" s="69">
        <f t="shared" si="20"/>
        <v>0</v>
      </c>
      <c r="I17" s="69">
        <f t="shared" si="20"/>
        <v>0</v>
      </c>
      <c r="J17" s="69">
        <f t="shared" si="20"/>
        <v>0</v>
      </c>
      <c r="K17" s="69">
        <f t="shared" si="20"/>
        <v>0</v>
      </c>
      <c r="L17" s="69">
        <f t="shared" si="20"/>
        <v>0</v>
      </c>
      <c r="M17" s="69">
        <f t="shared" si="20"/>
        <v>0</v>
      </c>
      <c r="N17" s="69">
        <f t="shared" si="20"/>
        <v>0</v>
      </c>
      <c r="O17" s="69">
        <f t="shared" si="20"/>
        <v>0</v>
      </c>
      <c r="P17" s="69">
        <f t="shared" si="20"/>
        <v>510</v>
      </c>
      <c r="Q17" s="69">
        <f t="shared" si="20"/>
        <v>510</v>
      </c>
      <c r="R17" s="69">
        <f t="shared" si="20"/>
        <v>0</v>
      </c>
      <c r="S17" s="69">
        <f t="shared" si="20"/>
        <v>510</v>
      </c>
      <c r="T17" s="69">
        <v>510</v>
      </c>
      <c r="U17" s="69">
        <f t="shared" si="20"/>
        <v>0</v>
      </c>
      <c r="V17" s="69">
        <f t="shared" si="20"/>
        <v>510</v>
      </c>
      <c r="W17" s="69">
        <v>510</v>
      </c>
      <c r="X17" s="69">
        <f t="shared" si="20"/>
        <v>0</v>
      </c>
      <c r="Y17" s="69">
        <f t="shared" si="20"/>
        <v>1530</v>
      </c>
      <c r="Z17" s="69">
        <f t="shared" si="20"/>
        <v>1530</v>
      </c>
      <c r="AA17" s="69">
        <f t="shared" si="20"/>
        <v>0</v>
      </c>
      <c r="AB17" s="89">
        <f t="shared" si="20"/>
        <v>0</v>
      </c>
      <c r="AC17" s="89">
        <f t="shared" si="20"/>
        <v>0</v>
      </c>
      <c r="AD17" s="89">
        <f t="shared" si="20"/>
        <v>0</v>
      </c>
      <c r="AE17" s="89">
        <f t="shared" si="20"/>
        <v>0</v>
      </c>
      <c r="AF17" s="89">
        <f t="shared" si="20"/>
        <v>0</v>
      </c>
      <c r="AG17" s="89">
        <f t="shared" si="20"/>
        <v>0</v>
      </c>
      <c r="AH17" s="89">
        <f t="shared" si="20"/>
        <v>0</v>
      </c>
      <c r="AI17" s="89">
        <f t="shared" si="20"/>
        <v>0</v>
      </c>
      <c r="AJ17" s="89">
        <f t="shared" si="20"/>
        <v>0</v>
      </c>
      <c r="AK17" s="89">
        <f t="shared" si="20"/>
        <v>0</v>
      </c>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row>
    <row r="18" spans="1:240" s="50" customFormat="1" ht="16.5" customHeight="1">
      <c r="A18" s="67">
        <v>174007</v>
      </c>
      <c r="B18" s="64" t="s">
        <v>39</v>
      </c>
      <c r="C18" s="64"/>
      <c r="D18" s="64"/>
      <c r="E18" s="64"/>
      <c r="F18" s="70"/>
      <c r="G18" s="70"/>
      <c r="H18" s="70"/>
      <c r="I18" s="74"/>
      <c r="J18" s="74"/>
      <c r="K18" s="74"/>
      <c r="L18" s="74"/>
      <c r="M18" s="74"/>
      <c r="N18" s="74"/>
      <c r="O18" s="74"/>
      <c r="P18" s="75">
        <f>Q18+R18</f>
        <v>510</v>
      </c>
      <c r="Q18" s="79">
        <v>510</v>
      </c>
      <c r="R18" s="75">
        <f aca="true" t="shared" si="21" ref="R18:R20">ROUND((C18*$J18+F18*$M18)/10000,0)</f>
        <v>0</v>
      </c>
      <c r="S18" s="75">
        <f>T18+U18</f>
        <v>510</v>
      </c>
      <c r="T18" s="79">
        <v>510</v>
      </c>
      <c r="U18" s="75">
        <f>ROUND((D18*$J18+G18*$M18)/10000,0)</f>
        <v>0</v>
      </c>
      <c r="V18" s="75">
        <f>W18+X18</f>
        <v>510</v>
      </c>
      <c r="W18" s="79">
        <v>510</v>
      </c>
      <c r="X18" s="75">
        <f>ROUND((E18*$J18+H18*$M18)/10000,0)</f>
        <v>0</v>
      </c>
      <c r="Y18" s="75">
        <f>Z18+AA18</f>
        <v>1530</v>
      </c>
      <c r="Z18" s="79">
        <f>W18+T18+Q18</f>
        <v>1530</v>
      </c>
      <c r="AA18" s="75">
        <f aca="true" t="shared" si="22" ref="AA18:AA20">R18+U18+X18</f>
        <v>0</v>
      </c>
      <c r="AB18" s="90">
        <f>AC18+AD18</f>
        <v>0</v>
      </c>
      <c r="AC18" s="87">
        <f>ROUND((((C18+D18+E18)*J18+(F18+G18+H18)*M18)*1)/10000,0)</f>
        <v>0</v>
      </c>
      <c r="AD18" s="90">
        <v>0</v>
      </c>
      <c r="AE18" s="88">
        <f>ROUND(((C18+D18+E18)*J18+(F18+G18+E18)*M18)*0.2/10000,0)</f>
        <v>0</v>
      </c>
      <c r="AF18" s="88">
        <f>AE18</f>
        <v>0</v>
      </c>
      <c r="AG18" s="88">
        <v>0</v>
      </c>
      <c r="AH18" s="88"/>
      <c r="AI18" s="96"/>
      <c r="AJ18" s="97"/>
      <c r="AK18" s="97"/>
      <c r="HU18" s="56"/>
      <c r="HV18" s="56"/>
      <c r="HW18" s="56"/>
      <c r="HX18" s="56"/>
      <c r="HY18" s="56"/>
      <c r="HZ18" s="56"/>
      <c r="IA18" s="56"/>
      <c r="IB18" s="56"/>
      <c r="IC18" s="56"/>
      <c r="ID18" s="56"/>
      <c r="IE18" s="56"/>
      <c r="IF18" s="56"/>
    </row>
    <row r="19" spans="1:240" s="50" customFormat="1" ht="16.5" customHeight="1">
      <c r="A19" s="67">
        <f>'目标人群测算表1'!A34</f>
        <v>604</v>
      </c>
      <c r="B19" s="64" t="s">
        <v>41</v>
      </c>
      <c r="C19" s="64">
        <f>'目标人群测算表1'!I19</f>
        <v>40907</v>
      </c>
      <c r="D19" s="64">
        <f>'目标人群测算表1'!J19</f>
        <v>36943</v>
      </c>
      <c r="E19" s="64">
        <f>'目标人群测算表1'!K19</f>
        <v>33549</v>
      </c>
      <c r="F19" s="64">
        <f>'目标人群测算表1'!L19</f>
        <v>30109</v>
      </c>
      <c r="G19" s="64">
        <f>'目标人群测算表1'!M19</f>
        <v>27393</v>
      </c>
      <c r="H19" s="64">
        <f>'目标人群测算表1'!N19</f>
        <v>25101</v>
      </c>
      <c r="I19" s="74">
        <f>J19+K19</f>
        <v>214</v>
      </c>
      <c r="J19" s="74">
        <v>130</v>
      </c>
      <c r="K19" s="74">
        <v>84</v>
      </c>
      <c r="L19" s="74">
        <f>M19+N19</f>
        <v>620</v>
      </c>
      <c r="M19" s="74">
        <v>370</v>
      </c>
      <c r="N19" s="74">
        <v>250</v>
      </c>
      <c r="O19" s="74">
        <v>7</v>
      </c>
      <c r="P19" s="75">
        <f>Q19+R19</f>
        <v>1721</v>
      </c>
      <c r="Q19" s="75">
        <f>12+O19*9</f>
        <v>75</v>
      </c>
      <c r="R19" s="75">
        <f t="shared" si="21"/>
        <v>1646</v>
      </c>
      <c r="S19" s="75">
        <f aca="true" t="shared" si="23" ref="S19:S33">T19+U19</f>
        <v>1569</v>
      </c>
      <c r="T19" s="75">
        <f>12+O19*9</f>
        <v>75</v>
      </c>
      <c r="U19" s="75">
        <f aca="true" t="shared" si="24" ref="U19:U33">ROUND((D19*$J19+G19*$M19)/10000,0)</f>
        <v>1494</v>
      </c>
      <c r="V19" s="75">
        <f>W19+X19</f>
        <v>1440</v>
      </c>
      <c r="W19" s="75">
        <f>12+O19*9</f>
        <v>75</v>
      </c>
      <c r="X19" s="75">
        <f>ROUND((E19*$J19+H19*$M19)/10000,0)</f>
        <v>1365</v>
      </c>
      <c r="Y19" s="75">
        <f>Z19+AA19</f>
        <v>4730</v>
      </c>
      <c r="Z19" s="79">
        <f>W19+T19+Q19</f>
        <v>225</v>
      </c>
      <c r="AA19" s="75">
        <f t="shared" si="22"/>
        <v>4505</v>
      </c>
      <c r="AB19" s="87">
        <f>ROUND((((C19+D19+E19)*214+(F19+G19+H19)*620)*1)/10000,0)</f>
        <v>7505</v>
      </c>
      <c r="AC19" s="87">
        <f>AA19</f>
        <v>4505</v>
      </c>
      <c r="AD19" s="87">
        <f>ROUND((((C19+D19+E19)*K16+(F19+G19+H19)*N16)*1)/10000,0)</f>
        <v>3001</v>
      </c>
      <c r="AE19" s="88">
        <f>ROUND(((C19+D19+E19)*I19+(F19+G19+E19)*L19)*0.2/10000,0)</f>
        <v>1606</v>
      </c>
      <c r="AF19" s="88">
        <f>ROUND(AE19*0.6,0)</f>
        <v>964</v>
      </c>
      <c r="AG19" s="88">
        <f>ROUND(AE19*0.4,0)</f>
        <v>642</v>
      </c>
      <c r="AH19" s="88">
        <v>62</v>
      </c>
      <c r="AI19" s="96">
        <v>69</v>
      </c>
      <c r="AJ19" s="97">
        <f>ROUND((62*(C19+D19+E19)+69*(F19+G19+H19))/10000*0.6,0)</f>
        <v>756</v>
      </c>
      <c r="AK19" s="97">
        <f>ROUND((62*(C19+D19+E19)+69*(F19+G19+H19))/10000*0.4,0)</f>
        <v>504</v>
      </c>
      <c r="HU19" s="56"/>
      <c r="HV19" s="56"/>
      <c r="HW19" s="56"/>
      <c r="HX19" s="56"/>
      <c r="HY19" s="56"/>
      <c r="HZ19" s="56"/>
      <c r="IA19" s="56"/>
      <c r="IB19" s="56"/>
      <c r="IC19" s="56"/>
      <c r="ID19" s="56"/>
      <c r="IE19" s="56"/>
      <c r="IF19" s="56"/>
    </row>
    <row r="20" spans="1:240" s="50" customFormat="1" ht="16.5" customHeight="1">
      <c r="A20" s="67">
        <f>'目标人群测算表1'!A43</f>
        <v>606</v>
      </c>
      <c r="B20" s="64" t="s">
        <v>50</v>
      </c>
      <c r="C20" s="64">
        <f>'目标人群测算表1'!I20</f>
        <v>24564</v>
      </c>
      <c r="D20" s="64">
        <f>'目标人群测算表1'!J20</f>
        <v>22034</v>
      </c>
      <c r="E20" s="64">
        <f>'目标人群测算表1'!K20</f>
        <v>19892</v>
      </c>
      <c r="F20" s="64">
        <f>'目标人群测算表1'!L20</f>
        <v>19650</v>
      </c>
      <c r="G20" s="64">
        <f>'目标人群测算表1'!M20</f>
        <v>17626</v>
      </c>
      <c r="H20" s="64">
        <f>'目标人群测算表1'!N20</f>
        <v>15914</v>
      </c>
      <c r="I20" s="74">
        <f aca="true" t="shared" si="25" ref="I20:I33">J20+K20</f>
        <v>214</v>
      </c>
      <c r="J20" s="74">
        <v>130</v>
      </c>
      <c r="K20" s="74">
        <v>84</v>
      </c>
      <c r="L20" s="74">
        <f aca="true" t="shared" si="26" ref="L20:L33">M20+N20</f>
        <v>620</v>
      </c>
      <c r="M20" s="74">
        <v>370</v>
      </c>
      <c r="N20" s="74">
        <v>250</v>
      </c>
      <c r="O20" s="74">
        <v>10</v>
      </c>
      <c r="P20" s="75">
        <f aca="true" t="shared" si="27" ref="P20:P33">Q20+R20</f>
        <v>1148</v>
      </c>
      <c r="Q20" s="75">
        <f aca="true" t="shared" si="28" ref="Q20:Q33">12+O20*9</f>
        <v>102</v>
      </c>
      <c r="R20" s="75">
        <f t="shared" si="21"/>
        <v>1046</v>
      </c>
      <c r="S20" s="75">
        <f t="shared" si="23"/>
        <v>1041</v>
      </c>
      <c r="T20" s="75">
        <f aca="true" t="shared" si="29" ref="T20:T33">12+O20*9</f>
        <v>102</v>
      </c>
      <c r="U20" s="75">
        <f t="shared" si="24"/>
        <v>939</v>
      </c>
      <c r="V20" s="75">
        <f aca="true" t="shared" si="30" ref="V20:V33">W20+X20</f>
        <v>949</v>
      </c>
      <c r="W20" s="75">
        <f aca="true" t="shared" si="31" ref="W20:W33">12+O20*9</f>
        <v>102</v>
      </c>
      <c r="X20" s="75">
        <f aca="true" t="shared" si="32" ref="X20:X33">ROUND((E20*$J20+H20*$M20)/10000,0)</f>
        <v>847</v>
      </c>
      <c r="Y20" s="75">
        <f aca="true" t="shared" si="33" ref="Y20:Y33">Z20+AA20</f>
        <v>3138</v>
      </c>
      <c r="Z20" s="79">
        <f aca="true" t="shared" si="34" ref="Z19:Z33">W20+T20+Q20</f>
        <v>306</v>
      </c>
      <c r="AA20" s="75">
        <f t="shared" si="22"/>
        <v>2832</v>
      </c>
      <c r="AB20" s="87">
        <f aca="true" t="shared" si="35" ref="AB20:AB33">ROUND((((C20+D20+E20)*214+(F20+G20+H20)*620)*1)/10000,0)</f>
        <v>4721</v>
      </c>
      <c r="AC20" s="87">
        <f aca="true" t="shared" si="36" ref="AC20:AC33">AA20</f>
        <v>2832</v>
      </c>
      <c r="AD20" s="87">
        <f aca="true" t="shared" si="37" ref="AD20:AD33">ROUND((((C20+D20+E20)*K19+(F20+G20+H20)*N19)*1)/10000,0)</f>
        <v>1888</v>
      </c>
      <c r="AE20" s="88">
        <f aca="true" t="shared" si="38" ref="AE20:AE33">ROUND(((C20+D20+E20)*I20+(F20+G20+E20)*L20)*0.2/10000,0)</f>
        <v>993</v>
      </c>
      <c r="AF20" s="88">
        <f aca="true" t="shared" si="39" ref="AF20:AF33">ROUND(AE20*0.6,0)</f>
        <v>596</v>
      </c>
      <c r="AG20" s="88">
        <f aca="true" t="shared" si="40" ref="AG20:AG33">ROUND(AE20*0.4,0)</f>
        <v>397</v>
      </c>
      <c r="AH20" s="88">
        <v>62</v>
      </c>
      <c r="AI20" s="96">
        <v>69</v>
      </c>
      <c r="AJ20" s="97">
        <f aca="true" t="shared" si="41" ref="AJ20:AJ33">ROUND((62*(C20+D20+E20)+69*(F20+G20+H20))/10000*0.6,0)</f>
        <v>468</v>
      </c>
      <c r="AK20" s="97">
        <f aca="true" t="shared" si="42" ref="AK20:AK33">ROUND((62*(C20+D20+E20)+69*(F20+G20+H20))/10000*0.4,0)</f>
        <v>312</v>
      </c>
      <c r="HU20" s="56"/>
      <c r="HV20" s="56"/>
      <c r="HW20" s="56"/>
      <c r="HX20" s="56"/>
      <c r="HY20" s="56"/>
      <c r="HZ20" s="56"/>
      <c r="IA20" s="56"/>
      <c r="IB20" s="56"/>
      <c r="IC20" s="56"/>
      <c r="ID20" s="56"/>
      <c r="IE20" s="56"/>
      <c r="IF20" s="56"/>
    </row>
    <row r="21" spans="1:240" s="50" customFormat="1" ht="16.5" customHeight="1">
      <c r="A21" s="67">
        <f>'目标人群测算表1'!A55</f>
        <v>607</v>
      </c>
      <c r="B21" s="64" t="s">
        <v>62</v>
      </c>
      <c r="C21" s="64">
        <f>'目标人群测算表1'!I21</f>
        <v>22481</v>
      </c>
      <c r="D21" s="64">
        <f>'目标人群测算表1'!J21</f>
        <v>19710</v>
      </c>
      <c r="E21" s="64">
        <f>'目标人群测算表1'!K21</f>
        <v>17707</v>
      </c>
      <c r="F21" s="64">
        <f>'目标人群测算表1'!L21</f>
        <v>17984</v>
      </c>
      <c r="G21" s="64">
        <f>'目标人群测算表1'!M21</f>
        <v>15769</v>
      </c>
      <c r="H21" s="64">
        <f>'目标人群测算表1'!N21</f>
        <v>14166</v>
      </c>
      <c r="I21" s="74">
        <f t="shared" si="25"/>
        <v>214</v>
      </c>
      <c r="J21" s="74">
        <v>130</v>
      </c>
      <c r="K21" s="74">
        <v>84</v>
      </c>
      <c r="L21" s="74">
        <f t="shared" si="26"/>
        <v>620</v>
      </c>
      <c r="M21" s="74">
        <v>370</v>
      </c>
      <c r="N21" s="74">
        <v>250</v>
      </c>
      <c r="O21" s="74">
        <v>6</v>
      </c>
      <c r="P21" s="75">
        <f t="shared" si="27"/>
        <v>1024</v>
      </c>
      <c r="Q21" s="75">
        <f t="shared" si="28"/>
        <v>66</v>
      </c>
      <c r="R21" s="75">
        <f aca="true" t="shared" si="43" ref="R20:R33">ROUND((C21*$J21+F21*$M21)/10000,0)</f>
        <v>958</v>
      </c>
      <c r="S21" s="75">
        <f t="shared" si="23"/>
        <v>906</v>
      </c>
      <c r="T21" s="75">
        <f t="shared" si="29"/>
        <v>66</v>
      </c>
      <c r="U21" s="75">
        <f t="shared" si="24"/>
        <v>840</v>
      </c>
      <c r="V21" s="75">
        <f t="shared" si="30"/>
        <v>820</v>
      </c>
      <c r="W21" s="75">
        <f t="shared" si="31"/>
        <v>66</v>
      </c>
      <c r="X21" s="75">
        <f t="shared" si="32"/>
        <v>754</v>
      </c>
      <c r="Y21" s="75">
        <f t="shared" si="33"/>
        <v>2750</v>
      </c>
      <c r="Z21" s="79">
        <f t="shared" si="34"/>
        <v>198</v>
      </c>
      <c r="AA21" s="75">
        <f aca="true" t="shared" si="44" ref="AA21:AA33">R21+U21+X21</f>
        <v>2552</v>
      </c>
      <c r="AB21" s="87">
        <f t="shared" si="35"/>
        <v>4253</v>
      </c>
      <c r="AC21" s="87">
        <f t="shared" si="36"/>
        <v>2552</v>
      </c>
      <c r="AD21" s="87">
        <f t="shared" si="37"/>
        <v>1701</v>
      </c>
      <c r="AE21" s="88">
        <f t="shared" si="38"/>
        <v>894</v>
      </c>
      <c r="AF21" s="88">
        <f t="shared" si="39"/>
        <v>536</v>
      </c>
      <c r="AG21" s="88">
        <f t="shared" si="40"/>
        <v>358</v>
      </c>
      <c r="AH21" s="88">
        <v>62</v>
      </c>
      <c r="AI21" s="96">
        <v>69</v>
      </c>
      <c r="AJ21" s="97">
        <f t="shared" si="41"/>
        <v>421</v>
      </c>
      <c r="AK21" s="97">
        <f t="shared" si="42"/>
        <v>281</v>
      </c>
      <c r="HU21" s="56"/>
      <c r="HV21" s="56"/>
      <c r="HW21" s="56"/>
      <c r="HX21" s="56"/>
      <c r="HY21" s="56"/>
      <c r="HZ21" s="56"/>
      <c r="IA21" s="56"/>
      <c r="IB21" s="56"/>
      <c r="IC21" s="56"/>
      <c r="ID21" s="56"/>
      <c r="IE21" s="56"/>
      <c r="IF21" s="56"/>
    </row>
    <row r="22" spans="1:240" s="50" customFormat="1" ht="16.5" customHeight="1">
      <c r="A22" s="67">
        <f>'目标人群测算表1'!A63</f>
        <v>608</v>
      </c>
      <c r="B22" s="64" t="s">
        <v>70</v>
      </c>
      <c r="C22" s="64">
        <f>'目标人群测算表1'!I22</f>
        <v>36866</v>
      </c>
      <c r="D22" s="64">
        <f>'目标人群测算表1'!J22</f>
        <v>31711</v>
      </c>
      <c r="E22" s="64">
        <f>'目标人群测算表1'!K22</f>
        <v>27353</v>
      </c>
      <c r="F22" s="64">
        <f>'目标人群测算表1'!L22</f>
        <v>29492</v>
      </c>
      <c r="G22" s="64">
        <f>'目标人群测算表1'!M22</f>
        <v>25367</v>
      </c>
      <c r="H22" s="64">
        <f>'目标人群测算表1'!N22</f>
        <v>21882</v>
      </c>
      <c r="I22" s="74">
        <f t="shared" si="25"/>
        <v>214</v>
      </c>
      <c r="J22" s="74">
        <v>130</v>
      </c>
      <c r="K22" s="74">
        <v>84</v>
      </c>
      <c r="L22" s="74">
        <f t="shared" si="26"/>
        <v>620</v>
      </c>
      <c r="M22" s="74">
        <v>370</v>
      </c>
      <c r="N22" s="74">
        <v>250</v>
      </c>
      <c r="O22" s="74">
        <v>8</v>
      </c>
      <c r="P22" s="75">
        <f t="shared" si="27"/>
        <v>1654</v>
      </c>
      <c r="Q22" s="75">
        <f t="shared" si="28"/>
        <v>84</v>
      </c>
      <c r="R22" s="75">
        <f t="shared" si="43"/>
        <v>1570</v>
      </c>
      <c r="S22" s="75">
        <f t="shared" si="23"/>
        <v>1435</v>
      </c>
      <c r="T22" s="75">
        <f t="shared" si="29"/>
        <v>84</v>
      </c>
      <c r="U22" s="75">
        <f t="shared" si="24"/>
        <v>1351</v>
      </c>
      <c r="V22" s="75">
        <f t="shared" si="30"/>
        <v>1249</v>
      </c>
      <c r="W22" s="75">
        <f t="shared" si="31"/>
        <v>84</v>
      </c>
      <c r="X22" s="75">
        <f t="shared" si="32"/>
        <v>1165</v>
      </c>
      <c r="Y22" s="75">
        <f t="shared" si="33"/>
        <v>4338</v>
      </c>
      <c r="Z22" s="79">
        <f t="shared" si="34"/>
        <v>252</v>
      </c>
      <c r="AA22" s="75">
        <f t="shared" si="44"/>
        <v>4086</v>
      </c>
      <c r="AB22" s="87">
        <f t="shared" si="35"/>
        <v>6811</v>
      </c>
      <c r="AC22" s="87">
        <f t="shared" si="36"/>
        <v>4086</v>
      </c>
      <c r="AD22" s="87">
        <f t="shared" si="37"/>
        <v>2724</v>
      </c>
      <c r="AE22" s="88">
        <f t="shared" si="38"/>
        <v>1430</v>
      </c>
      <c r="AF22" s="88">
        <f t="shared" si="39"/>
        <v>858</v>
      </c>
      <c r="AG22" s="88">
        <f t="shared" si="40"/>
        <v>572</v>
      </c>
      <c r="AH22" s="88">
        <v>62</v>
      </c>
      <c r="AI22" s="96">
        <v>69</v>
      </c>
      <c r="AJ22" s="97">
        <f t="shared" si="41"/>
        <v>675</v>
      </c>
      <c r="AK22" s="97">
        <f t="shared" si="42"/>
        <v>450</v>
      </c>
      <c r="HU22" s="56"/>
      <c r="HV22" s="56"/>
      <c r="HW22" s="56"/>
      <c r="HX22" s="56"/>
      <c r="HY22" s="56"/>
      <c r="HZ22" s="56"/>
      <c r="IA22" s="56"/>
      <c r="IB22" s="56"/>
      <c r="IC22" s="56"/>
      <c r="ID22" s="56"/>
      <c r="IE22" s="56"/>
      <c r="IF22" s="56"/>
    </row>
    <row r="23" spans="1:240" s="50" customFormat="1" ht="16.5" customHeight="1">
      <c r="A23" s="67">
        <f>'目标人群测算表1'!A73</f>
        <v>609</v>
      </c>
      <c r="B23" s="64" t="s">
        <v>80</v>
      </c>
      <c r="C23" s="64">
        <f>'目标人群测算表1'!I23</f>
        <v>49674</v>
      </c>
      <c r="D23" s="64">
        <f>'目标人群测算表1'!J23</f>
        <v>48202</v>
      </c>
      <c r="E23" s="64">
        <f>'目标人群测算表1'!K23</f>
        <v>48162</v>
      </c>
      <c r="F23" s="64">
        <f>'目标人群测算表1'!L23</f>
        <v>39738</v>
      </c>
      <c r="G23" s="64">
        <f>'目标人群测算表1'!M23</f>
        <v>38561</v>
      </c>
      <c r="H23" s="64">
        <f>'目标人群测算表1'!N23</f>
        <v>38530</v>
      </c>
      <c r="I23" s="74">
        <f t="shared" si="25"/>
        <v>214</v>
      </c>
      <c r="J23" s="74">
        <v>130</v>
      </c>
      <c r="K23" s="74">
        <v>84</v>
      </c>
      <c r="L23" s="74">
        <f t="shared" si="26"/>
        <v>620</v>
      </c>
      <c r="M23" s="74">
        <v>370</v>
      </c>
      <c r="N23" s="74">
        <v>250</v>
      </c>
      <c r="O23" s="74">
        <v>5</v>
      </c>
      <c r="P23" s="75">
        <f t="shared" si="27"/>
        <v>2173</v>
      </c>
      <c r="Q23" s="75">
        <f t="shared" si="28"/>
        <v>57</v>
      </c>
      <c r="R23" s="75">
        <f t="shared" si="43"/>
        <v>2116</v>
      </c>
      <c r="S23" s="75">
        <f t="shared" si="23"/>
        <v>2110</v>
      </c>
      <c r="T23" s="75">
        <f t="shared" si="29"/>
        <v>57</v>
      </c>
      <c r="U23" s="75">
        <f t="shared" si="24"/>
        <v>2053</v>
      </c>
      <c r="V23" s="75">
        <f t="shared" si="30"/>
        <v>2109</v>
      </c>
      <c r="W23" s="75">
        <f t="shared" si="31"/>
        <v>57</v>
      </c>
      <c r="X23" s="75">
        <f t="shared" si="32"/>
        <v>2052</v>
      </c>
      <c r="Y23" s="75">
        <f t="shared" si="33"/>
        <v>6392</v>
      </c>
      <c r="Z23" s="79">
        <f t="shared" si="34"/>
        <v>171</v>
      </c>
      <c r="AA23" s="75">
        <f t="shared" si="44"/>
        <v>6221</v>
      </c>
      <c r="AB23" s="87">
        <f t="shared" si="35"/>
        <v>10369</v>
      </c>
      <c r="AC23" s="87">
        <f t="shared" si="36"/>
        <v>6221</v>
      </c>
      <c r="AD23" s="87">
        <f t="shared" si="37"/>
        <v>4147</v>
      </c>
      <c r="AE23" s="88">
        <f t="shared" si="38"/>
        <v>2193</v>
      </c>
      <c r="AF23" s="88">
        <f t="shared" si="39"/>
        <v>1316</v>
      </c>
      <c r="AG23" s="88">
        <f t="shared" si="40"/>
        <v>877</v>
      </c>
      <c r="AH23" s="88">
        <v>62</v>
      </c>
      <c r="AI23" s="96">
        <v>69</v>
      </c>
      <c r="AJ23" s="97">
        <f t="shared" si="41"/>
        <v>1027</v>
      </c>
      <c r="AK23" s="97">
        <f t="shared" si="42"/>
        <v>685</v>
      </c>
      <c r="HU23" s="56"/>
      <c r="HV23" s="56"/>
      <c r="HW23" s="56"/>
      <c r="HX23" s="56"/>
      <c r="HY23" s="56"/>
      <c r="HZ23" s="56"/>
      <c r="IA23" s="56"/>
      <c r="IB23" s="56"/>
      <c r="IC23" s="56"/>
      <c r="ID23" s="56"/>
      <c r="IE23" s="56"/>
      <c r="IF23" s="56"/>
    </row>
    <row r="24" spans="1:240" s="50" customFormat="1" ht="16.5" customHeight="1">
      <c r="A24" s="67">
        <f>'目标人群测算表1'!A80</f>
        <v>610</v>
      </c>
      <c r="B24" s="64" t="s">
        <v>87</v>
      </c>
      <c r="C24" s="64">
        <f>'目标人群测算表1'!I24</f>
        <v>35905</v>
      </c>
      <c r="D24" s="64">
        <f>'目标人群测算表1'!J24</f>
        <v>34111</v>
      </c>
      <c r="E24" s="64">
        <f>'目标人群测算表1'!K24</f>
        <v>32532</v>
      </c>
      <c r="F24" s="64">
        <f>'目标人群测算表1'!L24</f>
        <v>28724</v>
      </c>
      <c r="G24" s="64">
        <f>'目标人群测算表1'!M24</f>
        <v>27288</v>
      </c>
      <c r="H24" s="64">
        <f>'目标人群测算表1'!N24</f>
        <v>26025</v>
      </c>
      <c r="I24" s="74">
        <v>214</v>
      </c>
      <c r="J24" s="74">
        <v>130</v>
      </c>
      <c r="K24" s="74">
        <v>84</v>
      </c>
      <c r="L24" s="74">
        <f t="shared" si="26"/>
        <v>620</v>
      </c>
      <c r="M24" s="74">
        <v>370</v>
      </c>
      <c r="N24" s="74">
        <v>250</v>
      </c>
      <c r="O24" s="74">
        <v>4</v>
      </c>
      <c r="P24" s="75">
        <f t="shared" si="27"/>
        <v>1578</v>
      </c>
      <c r="Q24" s="75">
        <f t="shared" si="28"/>
        <v>48</v>
      </c>
      <c r="R24" s="75">
        <f t="shared" si="43"/>
        <v>1530</v>
      </c>
      <c r="S24" s="75">
        <f t="shared" si="23"/>
        <v>1501</v>
      </c>
      <c r="T24" s="75">
        <f t="shared" si="29"/>
        <v>48</v>
      </c>
      <c r="U24" s="75">
        <f t="shared" si="24"/>
        <v>1453</v>
      </c>
      <c r="V24" s="75">
        <f t="shared" si="30"/>
        <v>1434</v>
      </c>
      <c r="W24" s="75">
        <f t="shared" si="31"/>
        <v>48</v>
      </c>
      <c r="X24" s="75">
        <f t="shared" si="32"/>
        <v>1386</v>
      </c>
      <c r="Y24" s="75">
        <f t="shared" si="33"/>
        <v>4513</v>
      </c>
      <c r="Z24" s="79">
        <f t="shared" si="34"/>
        <v>144</v>
      </c>
      <c r="AA24" s="75">
        <f t="shared" si="44"/>
        <v>4369</v>
      </c>
      <c r="AB24" s="87">
        <f t="shared" si="35"/>
        <v>7281</v>
      </c>
      <c r="AC24" s="87">
        <f t="shared" si="36"/>
        <v>4369</v>
      </c>
      <c r="AD24" s="87">
        <f t="shared" si="37"/>
        <v>2912</v>
      </c>
      <c r="AE24" s="88">
        <f t="shared" si="38"/>
        <v>1537</v>
      </c>
      <c r="AF24" s="88">
        <f t="shared" si="39"/>
        <v>922</v>
      </c>
      <c r="AG24" s="88">
        <f t="shared" si="40"/>
        <v>615</v>
      </c>
      <c r="AH24" s="88">
        <v>62</v>
      </c>
      <c r="AI24" s="96">
        <v>69</v>
      </c>
      <c r="AJ24" s="97">
        <f t="shared" si="41"/>
        <v>721</v>
      </c>
      <c r="AK24" s="97">
        <f t="shared" si="42"/>
        <v>481</v>
      </c>
      <c r="HU24" s="56"/>
      <c r="HV24" s="56"/>
      <c r="HW24" s="56"/>
      <c r="HX24" s="56"/>
      <c r="HY24" s="56"/>
      <c r="HZ24" s="56"/>
      <c r="IA24" s="56"/>
      <c r="IB24" s="56"/>
      <c r="IC24" s="56"/>
      <c r="ID24" s="56"/>
      <c r="IE24" s="56"/>
      <c r="IF24" s="56"/>
    </row>
    <row r="25" spans="1:240" s="50" customFormat="1" ht="16.5" customHeight="1">
      <c r="A25" s="67">
        <f>'目标人群测算表1'!A86</f>
        <v>613</v>
      </c>
      <c r="B25" s="64" t="s">
        <v>294</v>
      </c>
      <c r="C25" s="64">
        <f>'目标人群测算表1'!I25</f>
        <v>12715</v>
      </c>
      <c r="D25" s="64">
        <f>'目标人群测算表1'!J25</f>
        <v>10867</v>
      </c>
      <c r="E25" s="64">
        <f>'目标人群测算表1'!K25</f>
        <v>9295</v>
      </c>
      <c r="F25" s="64">
        <f>'目标人群测算表1'!L25</f>
        <v>10171</v>
      </c>
      <c r="G25" s="64">
        <f>'目标人群测算表1'!M25</f>
        <v>8693</v>
      </c>
      <c r="H25" s="64">
        <f>'目标人群测算表1'!N25</f>
        <v>7436</v>
      </c>
      <c r="I25" s="74">
        <f t="shared" si="25"/>
        <v>214</v>
      </c>
      <c r="J25" s="74">
        <v>130</v>
      </c>
      <c r="K25" s="74">
        <v>84</v>
      </c>
      <c r="L25" s="74">
        <f t="shared" si="26"/>
        <v>620</v>
      </c>
      <c r="M25" s="74">
        <v>370</v>
      </c>
      <c r="N25" s="74">
        <v>250</v>
      </c>
      <c r="O25" s="74">
        <v>3</v>
      </c>
      <c r="P25" s="75">
        <f t="shared" si="27"/>
        <v>581</v>
      </c>
      <c r="Q25" s="75">
        <f t="shared" si="28"/>
        <v>39</v>
      </c>
      <c r="R25" s="75">
        <f t="shared" si="43"/>
        <v>542</v>
      </c>
      <c r="S25" s="75">
        <f t="shared" si="23"/>
        <v>502</v>
      </c>
      <c r="T25" s="75">
        <f t="shared" si="29"/>
        <v>39</v>
      </c>
      <c r="U25" s="75">
        <f t="shared" si="24"/>
        <v>463</v>
      </c>
      <c r="V25" s="75">
        <f t="shared" si="30"/>
        <v>435</v>
      </c>
      <c r="W25" s="75">
        <f t="shared" si="31"/>
        <v>39</v>
      </c>
      <c r="X25" s="75">
        <f t="shared" si="32"/>
        <v>396</v>
      </c>
      <c r="Y25" s="75">
        <f t="shared" si="33"/>
        <v>1518</v>
      </c>
      <c r="Z25" s="79">
        <f t="shared" si="34"/>
        <v>117</v>
      </c>
      <c r="AA25" s="75">
        <f t="shared" si="44"/>
        <v>1401</v>
      </c>
      <c r="AB25" s="87">
        <f t="shared" si="35"/>
        <v>2334</v>
      </c>
      <c r="AC25" s="87">
        <f t="shared" si="36"/>
        <v>1401</v>
      </c>
      <c r="AD25" s="87">
        <f t="shared" si="37"/>
        <v>934</v>
      </c>
      <c r="AE25" s="88">
        <f t="shared" si="38"/>
        <v>490</v>
      </c>
      <c r="AF25" s="88">
        <f t="shared" si="39"/>
        <v>294</v>
      </c>
      <c r="AG25" s="88">
        <f t="shared" si="40"/>
        <v>196</v>
      </c>
      <c r="AH25" s="88">
        <v>62</v>
      </c>
      <c r="AI25" s="96">
        <v>69</v>
      </c>
      <c r="AJ25" s="97">
        <f t="shared" si="41"/>
        <v>231</v>
      </c>
      <c r="AK25" s="97">
        <f t="shared" si="42"/>
        <v>154</v>
      </c>
      <c r="HU25" s="56"/>
      <c r="HV25" s="56"/>
      <c r="HW25" s="56"/>
      <c r="HX25" s="56"/>
      <c r="HY25" s="56"/>
      <c r="HZ25" s="56"/>
      <c r="IA25" s="56"/>
      <c r="IB25" s="56"/>
      <c r="IC25" s="56"/>
      <c r="ID25" s="56"/>
      <c r="IE25" s="56"/>
      <c r="IF25" s="56"/>
    </row>
    <row r="26" spans="1:240" s="50" customFormat="1" ht="16.5" customHeight="1">
      <c r="A26" s="67">
        <f>'目标人群测算表1'!A91</f>
        <v>614</v>
      </c>
      <c r="B26" s="64" t="s">
        <v>98</v>
      </c>
      <c r="C26" s="64">
        <f>'目标人群测算表1'!I26</f>
        <v>25551</v>
      </c>
      <c r="D26" s="64">
        <f>'目标人群测算表1'!J26</f>
        <v>23609</v>
      </c>
      <c r="E26" s="64">
        <f>'目标人群测算表1'!K26</f>
        <v>21947</v>
      </c>
      <c r="F26" s="64">
        <f>'目标人群测算表1'!L26</f>
        <v>20441</v>
      </c>
      <c r="G26" s="64">
        <f>'目标人群测算表1'!M26</f>
        <v>18887</v>
      </c>
      <c r="H26" s="64">
        <f>'目标人群测算表1'!N26</f>
        <v>17557</v>
      </c>
      <c r="I26" s="74">
        <f t="shared" si="25"/>
        <v>214</v>
      </c>
      <c r="J26" s="74">
        <v>130</v>
      </c>
      <c r="K26" s="74">
        <v>84</v>
      </c>
      <c r="L26" s="74">
        <f t="shared" si="26"/>
        <v>620</v>
      </c>
      <c r="M26" s="74">
        <v>370</v>
      </c>
      <c r="N26" s="74">
        <v>250</v>
      </c>
      <c r="O26" s="74">
        <v>4</v>
      </c>
      <c r="P26" s="75">
        <f t="shared" si="27"/>
        <v>1136</v>
      </c>
      <c r="Q26" s="75">
        <f t="shared" si="28"/>
        <v>48</v>
      </c>
      <c r="R26" s="75">
        <f t="shared" si="43"/>
        <v>1088</v>
      </c>
      <c r="S26" s="75">
        <f t="shared" si="23"/>
        <v>1054</v>
      </c>
      <c r="T26" s="75">
        <f t="shared" si="29"/>
        <v>48</v>
      </c>
      <c r="U26" s="75">
        <f t="shared" si="24"/>
        <v>1006</v>
      </c>
      <c r="V26" s="75">
        <f t="shared" si="30"/>
        <v>983</v>
      </c>
      <c r="W26" s="75">
        <f t="shared" si="31"/>
        <v>48</v>
      </c>
      <c r="X26" s="75">
        <f t="shared" si="32"/>
        <v>935</v>
      </c>
      <c r="Y26" s="75">
        <f t="shared" si="33"/>
        <v>3173</v>
      </c>
      <c r="Z26" s="79">
        <f t="shared" si="34"/>
        <v>144</v>
      </c>
      <c r="AA26" s="75">
        <f t="shared" si="44"/>
        <v>3029</v>
      </c>
      <c r="AB26" s="87">
        <f t="shared" si="35"/>
        <v>5049</v>
      </c>
      <c r="AC26" s="87">
        <f t="shared" si="36"/>
        <v>3029</v>
      </c>
      <c r="AD26" s="87">
        <f t="shared" si="37"/>
        <v>2019</v>
      </c>
      <c r="AE26" s="88">
        <f t="shared" si="38"/>
        <v>1064</v>
      </c>
      <c r="AF26" s="88">
        <f t="shared" si="39"/>
        <v>638</v>
      </c>
      <c r="AG26" s="88">
        <f t="shared" si="40"/>
        <v>426</v>
      </c>
      <c r="AH26" s="88">
        <v>62</v>
      </c>
      <c r="AI26" s="96">
        <v>69</v>
      </c>
      <c r="AJ26" s="97">
        <f t="shared" si="41"/>
        <v>500</v>
      </c>
      <c r="AK26" s="97">
        <f t="shared" si="42"/>
        <v>333</v>
      </c>
      <c r="HU26" s="56"/>
      <c r="HV26" s="56"/>
      <c r="HW26" s="56"/>
      <c r="HX26" s="56"/>
      <c r="HY26" s="56"/>
      <c r="HZ26" s="56"/>
      <c r="IA26" s="56"/>
      <c r="IB26" s="56"/>
      <c r="IC26" s="56"/>
      <c r="ID26" s="56"/>
      <c r="IE26" s="56"/>
      <c r="IF26" s="56"/>
    </row>
    <row r="27" spans="1:240" s="50" customFormat="1" ht="16.5" customHeight="1">
      <c r="A27" s="67">
        <f>'目标人群测算表1'!A97</f>
        <v>615</v>
      </c>
      <c r="B27" s="64" t="s">
        <v>104</v>
      </c>
      <c r="C27" s="64">
        <f>'目标人群测算表1'!I27</f>
        <v>99701</v>
      </c>
      <c r="D27" s="64">
        <f>'目标人群测算表1'!J27</f>
        <v>92513</v>
      </c>
      <c r="E27" s="64">
        <f>'目标人群测算表1'!K27</f>
        <v>85945</v>
      </c>
      <c r="F27" s="64">
        <f>'目标人群测算表1'!L27</f>
        <v>79761</v>
      </c>
      <c r="G27" s="64">
        <f>'目标人群测算表1'!M27</f>
        <v>74010</v>
      </c>
      <c r="H27" s="64">
        <f>'目标人群测算表1'!N27</f>
        <v>68754</v>
      </c>
      <c r="I27" s="74">
        <f t="shared" si="25"/>
        <v>214</v>
      </c>
      <c r="J27" s="74">
        <v>130</v>
      </c>
      <c r="K27" s="74">
        <v>84</v>
      </c>
      <c r="L27" s="74">
        <f t="shared" si="26"/>
        <v>620</v>
      </c>
      <c r="M27" s="74">
        <v>370</v>
      </c>
      <c r="N27" s="74">
        <v>250</v>
      </c>
      <c r="O27" s="74">
        <v>9</v>
      </c>
      <c r="P27" s="75">
        <f t="shared" si="27"/>
        <v>4340</v>
      </c>
      <c r="Q27" s="75">
        <f t="shared" si="28"/>
        <v>93</v>
      </c>
      <c r="R27" s="75">
        <f t="shared" si="43"/>
        <v>4247</v>
      </c>
      <c r="S27" s="75">
        <f t="shared" si="23"/>
        <v>4034</v>
      </c>
      <c r="T27" s="75">
        <f t="shared" si="29"/>
        <v>93</v>
      </c>
      <c r="U27" s="75">
        <f t="shared" si="24"/>
        <v>3941</v>
      </c>
      <c r="V27" s="75">
        <f t="shared" si="30"/>
        <v>3754</v>
      </c>
      <c r="W27" s="75">
        <f t="shared" si="31"/>
        <v>93</v>
      </c>
      <c r="X27" s="75">
        <f t="shared" si="32"/>
        <v>3661</v>
      </c>
      <c r="Y27" s="75">
        <f t="shared" si="33"/>
        <v>12128</v>
      </c>
      <c r="Z27" s="79">
        <f t="shared" si="34"/>
        <v>279</v>
      </c>
      <c r="AA27" s="75">
        <f t="shared" si="44"/>
        <v>11849</v>
      </c>
      <c r="AB27" s="87">
        <f t="shared" si="35"/>
        <v>19749</v>
      </c>
      <c r="AC27" s="87">
        <f t="shared" si="36"/>
        <v>11849</v>
      </c>
      <c r="AD27" s="87">
        <f t="shared" si="37"/>
        <v>7900</v>
      </c>
      <c r="AE27" s="88">
        <f t="shared" si="38"/>
        <v>4163</v>
      </c>
      <c r="AF27" s="88">
        <f t="shared" si="39"/>
        <v>2498</v>
      </c>
      <c r="AG27" s="88">
        <f t="shared" si="40"/>
        <v>1665</v>
      </c>
      <c r="AH27" s="88">
        <v>62</v>
      </c>
      <c r="AI27" s="96">
        <v>69</v>
      </c>
      <c r="AJ27" s="97">
        <f t="shared" si="41"/>
        <v>1956</v>
      </c>
      <c r="AK27" s="97">
        <f t="shared" si="42"/>
        <v>1304</v>
      </c>
      <c r="HU27" s="56"/>
      <c r="HV27" s="56"/>
      <c r="HW27" s="56"/>
      <c r="HX27" s="56"/>
      <c r="HY27" s="56"/>
      <c r="HZ27" s="56"/>
      <c r="IA27" s="56"/>
      <c r="IB27" s="56"/>
      <c r="IC27" s="56"/>
      <c r="ID27" s="56"/>
      <c r="IE27" s="56"/>
      <c r="IF27" s="56"/>
    </row>
    <row r="28" spans="1:240" s="50" customFormat="1" ht="16.5" customHeight="1">
      <c r="A28" s="67">
        <f>'目标人群测算表1'!A108</f>
        <v>616</v>
      </c>
      <c r="B28" s="64" t="s">
        <v>115</v>
      </c>
      <c r="C28" s="64">
        <f>'目标人群测算表1'!I28</f>
        <v>74146</v>
      </c>
      <c r="D28" s="64">
        <f>'目标人群测算表1'!J28</f>
        <v>67104</v>
      </c>
      <c r="E28" s="64">
        <f>'目标人群测算表1'!K28</f>
        <v>60867</v>
      </c>
      <c r="F28" s="64">
        <f>'目标人群测算表1'!L28</f>
        <v>59317</v>
      </c>
      <c r="G28" s="64">
        <f>'目标人群测算表1'!M28</f>
        <v>53684</v>
      </c>
      <c r="H28" s="64">
        <f>'目标人群测算表1'!N28</f>
        <v>48693</v>
      </c>
      <c r="I28" s="74">
        <f t="shared" si="25"/>
        <v>214</v>
      </c>
      <c r="J28" s="74">
        <v>130</v>
      </c>
      <c r="K28" s="74">
        <v>84</v>
      </c>
      <c r="L28" s="74">
        <f t="shared" si="26"/>
        <v>620</v>
      </c>
      <c r="M28" s="74">
        <v>370</v>
      </c>
      <c r="N28" s="74">
        <v>250</v>
      </c>
      <c r="O28" s="74">
        <v>5</v>
      </c>
      <c r="P28" s="75">
        <f t="shared" si="27"/>
        <v>3216</v>
      </c>
      <c r="Q28" s="75">
        <f t="shared" si="28"/>
        <v>57</v>
      </c>
      <c r="R28" s="75">
        <f t="shared" si="43"/>
        <v>3159</v>
      </c>
      <c r="S28" s="75">
        <f t="shared" si="23"/>
        <v>2916</v>
      </c>
      <c r="T28" s="75">
        <f t="shared" si="29"/>
        <v>57</v>
      </c>
      <c r="U28" s="75">
        <f t="shared" si="24"/>
        <v>2859</v>
      </c>
      <c r="V28" s="75">
        <f t="shared" si="30"/>
        <v>2650</v>
      </c>
      <c r="W28" s="75">
        <f t="shared" si="31"/>
        <v>57</v>
      </c>
      <c r="X28" s="75">
        <f t="shared" si="32"/>
        <v>2593</v>
      </c>
      <c r="Y28" s="75">
        <f t="shared" si="33"/>
        <v>8782</v>
      </c>
      <c r="Z28" s="79">
        <f t="shared" si="34"/>
        <v>171</v>
      </c>
      <c r="AA28" s="75">
        <f t="shared" si="44"/>
        <v>8611</v>
      </c>
      <c r="AB28" s="87">
        <f t="shared" si="35"/>
        <v>14350</v>
      </c>
      <c r="AC28" s="87">
        <f t="shared" si="36"/>
        <v>8611</v>
      </c>
      <c r="AD28" s="87">
        <f t="shared" si="37"/>
        <v>5740</v>
      </c>
      <c r="AE28" s="88">
        <f t="shared" si="38"/>
        <v>3021</v>
      </c>
      <c r="AF28" s="88">
        <f t="shared" si="39"/>
        <v>1813</v>
      </c>
      <c r="AG28" s="88">
        <f t="shared" si="40"/>
        <v>1208</v>
      </c>
      <c r="AH28" s="88">
        <v>62</v>
      </c>
      <c r="AI28" s="96">
        <v>69</v>
      </c>
      <c r="AJ28" s="97">
        <f t="shared" si="41"/>
        <v>1421</v>
      </c>
      <c r="AK28" s="97">
        <f t="shared" si="42"/>
        <v>948</v>
      </c>
      <c r="HU28" s="56"/>
      <c r="HV28" s="56"/>
      <c r="HW28" s="56"/>
      <c r="HX28" s="56"/>
      <c r="HY28" s="56"/>
      <c r="HZ28" s="56"/>
      <c r="IA28" s="56"/>
      <c r="IB28" s="56"/>
      <c r="IC28" s="56"/>
      <c r="ID28" s="56"/>
      <c r="IE28" s="56"/>
      <c r="IF28" s="56"/>
    </row>
    <row r="29" spans="1:240" s="50" customFormat="1" ht="15.75" customHeight="1">
      <c r="A29" s="67">
        <f>'目标人群测算表1'!A115</f>
        <v>617</v>
      </c>
      <c r="B29" s="64" t="s">
        <v>122</v>
      </c>
      <c r="C29" s="64">
        <f>'目标人群测算表1'!I29</f>
        <v>37264</v>
      </c>
      <c r="D29" s="64">
        <f>'目标人群测算表1'!J29</f>
        <v>34939</v>
      </c>
      <c r="E29" s="64">
        <f>'目标人群测算表1'!K29</f>
        <v>33272</v>
      </c>
      <c r="F29" s="64">
        <f>'目标人群测算表1'!L29</f>
        <v>31262</v>
      </c>
      <c r="G29" s="64">
        <f>'目标人群测算表1'!M29</f>
        <v>29618</v>
      </c>
      <c r="H29" s="64">
        <f>'目标人群测算表1'!N29</f>
        <v>28206</v>
      </c>
      <c r="I29" s="74">
        <f t="shared" si="25"/>
        <v>214</v>
      </c>
      <c r="J29" s="74">
        <v>130</v>
      </c>
      <c r="K29" s="74">
        <v>84</v>
      </c>
      <c r="L29" s="74">
        <f t="shared" si="26"/>
        <v>620</v>
      </c>
      <c r="M29" s="74">
        <v>370</v>
      </c>
      <c r="N29" s="74">
        <v>250</v>
      </c>
      <c r="O29" s="74">
        <v>8</v>
      </c>
      <c r="P29" s="75">
        <f t="shared" si="27"/>
        <v>1725</v>
      </c>
      <c r="Q29" s="75">
        <f t="shared" si="28"/>
        <v>84</v>
      </c>
      <c r="R29" s="75">
        <f t="shared" si="43"/>
        <v>1641</v>
      </c>
      <c r="S29" s="75">
        <f t="shared" si="23"/>
        <v>1634</v>
      </c>
      <c r="T29" s="75">
        <f t="shared" si="29"/>
        <v>84</v>
      </c>
      <c r="U29" s="75">
        <f t="shared" si="24"/>
        <v>1550</v>
      </c>
      <c r="V29" s="75">
        <f t="shared" si="30"/>
        <v>1560</v>
      </c>
      <c r="W29" s="75">
        <f t="shared" si="31"/>
        <v>84</v>
      </c>
      <c r="X29" s="75">
        <f t="shared" si="32"/>
        <v>1476</v>
      </c>
      <c r="Y29" s="75">
        <f t="shared" si="33"/>
        <v>4919</v>
      </c>
      <c r="Z29" s="79">
        <f t="shared" si="34"/>
        <v>252</v>
      </c>
      <c r="AA29" s="75">
        <f t="shared" si="44"/>
        <v>4667</v>
      </c>
      <c r="AB29" s="87">
        <f t="shared" si="35"/>
        <v>7780</v>
      </c>
      <c r="AC29" s="87">
        <f t="shared" si="36"/>
        <v>4667</v>
      </c>
      <c r="AD29" s="87">
        <f t="shared" si="37"/>
        <v>3113</v>
      </c>
      <c r="AE29" s="88">
        <f t="shared" si="38"/>
        <v>1619</v>
      </c>
      <c r="AF29" s="88">
        <f t="shared" si="39"/>
        <v>971</v>
      </c>
      <c r="AG29" s="88">
        <f t="shared" si="40"/>
        <v>648</v>
      </c>
      <c r="AH29" s="88">
        <v>62</v>
      </c>
      <c r="AI29" s="96">
        <v>69</v>
      </c>
      <c r="AJ29" s="97">
        <f t="shared" si="41"/>
        <v>761</v>
      </c>
      <c r="AK29" s="97">
        <f t="shared" si="42"/>
        <v>507</v>
      </c>
      <c r="HU29" s="56"/>
      <c r="HV29" s="56"/>
      <c r="HW29" s="56"/>
      <c r="HX29" s="56"/>
      <c r="HY29" s="56"/>
      <c r="HZ29" s="56"/>
      <c r="IA29" s="56"/>
      <c r="IB29" s="56"/>
      <c r="IC29" s="56"/>
      <c r="ID29" s="56"/>
      <c r="IE29" s="56"/>
      <c r="IF29" s="56"/>
    </row>
    <row r="30" spans="1:240" s="50" customFormat="1" ht="16.5" customHeight="1">
      <c r="A30" s="67">
        <f>'目标人群测算表1'!A125</f>
        <v>618</v>
      </c>
      <c r="B30" s="64" t="s">
        <v>132</v>
      </c>
      <c r="C30" s="64">
        <f>'目标人群测算表1'!I30</f>
        <v>33628</v>
      </c>
      <c r="D30" s="64">
        <f>'目标人群测算表1'!J30</f>
        <v>30219</v>
      </c>
      <c r="E30" s="64">
        <f>'目标人群测算表1'!K30</f>
        <v>27483</v>
      </c>
      <c r="F30" s="64">
        <f>'目标人群测算表1'!L30</f>
        <v>26901</v>
      </c>
      <c r="G30" s="64">
        <f>'目标人群测算表1'!M30</f>
        <v>24176</v>
      </c>
      <c r="H30" s="64">
        <f>'目标人群测算表1'!N30</f>
        <v>21986</v>
      </c>
      <c r="I30" s="74">
        <f t="shared" si="25"/>
        <v>214</v>
      </c>
      <c r="J30" s="74">
        <v>130</v>
      </c>
      <c r="K30" s="74">
        <v>84</v>
      </c>
      <c r="L30" s="74">
        <f t="shared" si="26"/>
        <v>620</v>
      </c>
      <c r="M30" s="74">
        <v>370</v>
      </c>
      <c r="N30" s="74">
        <v>250</v>
      </c>
      <c r="O30" s="74">
        <v>8</v>
      </c>
      <c r="P30" s="75">
        <f t="shared" si="27"/>
        <v>1517</v>
      </c>
      <c r="Q30" s="75">
        <f t="shared" si="28"/>
        <v>84</v>
      </c>
      <c r="R30" s="75">
        <f t="shared" si="43"/>
        <v>1433</v>
      </c>
      <c r="S30" s="75">
        <f t="shared" si="23"/>
        <v>1371</v>
      </c>
      <c r="T30" s="75">
        <f t="shared" si="29"/>
        <v>84</v>
      </c>
      <c r="U30" s="75">
        <f t="shared" si="24"/>
        <v>1287</v>
      </c>
      <c r="V30" s="75">
        <f t="shared" si="30"/>
        <v>1255</v>
      </c>
      <c r="W30" s="75">
        <f t="shared" si="31"/>
        <v>84</v>
      </c>
      <c r="X30" s="75">
        <f t="shared" si="32"/>
        <v>1171</v>
      </c>
      <c r="Y30" s="75">
        <f t="shared" si="33"/>
        <v>4143</v>
      </c>
      <c r="Z30" s="79">
        <f t="shared" si="34"/>
        <v>252</v>
      </c>
      <c r="AA30" s="75">
        <f t="shared" si="44"/>
        <v>3891</v>
      </c>
      <c r="AB30" s="87">
        <f t="shared" si="35"/>
        <v>6484</v>
      </c>
      <c r="AC30" s="87">
        <f t="shared" si="36"/>
        <v>3891</v>
      </c>
      <c r="AD30" s="87">
        <f t="shared" si="37"/>
        <v>2594</v>
      </c>
      <c r="AE30" s="88">
        <f t="shared" si="38"/>
        <v>1365</v>
      </c>
      <c r="AF30" s="88">
        <f t="shared" si="39"/>
        <v>819</v>
      </c>
      <c r="AG30" s="88">
        <f t="shared" si="40"/>
        <v>546</v>
      </c>
      <c r="AH30" s="88">
        <v>62</v>
      </c>
      <c r="AI30" s="96">
        <v>69</v>
      </c>
      <c r="AJ30" s="97">
        <f t="shared" si="41"/>
        <v>642</v>
      </c>
      <c r="AK30" s="97">
        <f t="shared" si="42"/>
        <v>428</v>
      </c>
      <c r="HU30" s="56"/>
      <c r="HV30" s="56"/>
      <c r="HW30" s="56"/>
      <c r="HX30" s="56"/>
      <c r="HY30" s="56"/>
      <c r="HZ30" s="56"/>
      <c r="IA30" s="56"/>
      <c r="IB30" s="56"/>
      <c r="IC30" s="56"/>
      <c r="ID30" s="56"/>
      <c r="IE30" s="56"/>
      <c r="IF30" s="56"/>
    </row>
    <row r="31" spans="1:240" s="50" customFormat="1" ht="16.5" customHeight="1">
      <c r="A31" s="71">
        <v>619</v>
      </c>
      <c r="B31" s="64" t="s">
        <v>142</v>
      </c>
      <c r="C31" s="64">
        <f>'目标人群测算表1'!I31</f>
        <v>21404</v>
      </c>
      <c r="D31" s="64">
        <f>'目标人群测算表1'!J31</f>
        <v>19015</v>
      </c>
      <c r="E31" s="64">
        <f>'目标人群测算表1'!K31</f>
        <v>16929</v>
      </c>
      <c r="F31" s="64">
        <f>'目标人群测算表1'!L31</f>
        <v>17123</v>
      </c>
      <c r="G31" s="64">
        <f>'目标人群测算表1'!M31</f>
        <v>15212</v>
      </c>
      <c r="H31" s="64">
        <f>'目标人群测算表1'!N31</f>
        <v>13542</v>
      </c>
      <c r="I31" s="74">
        <f t="shared" si="25"/>
        <v>214</v>
      </c>
      <c r="J31" s="74">
        <v>130</v>
      </c>
      <c r="K31" s="74">
        <v>84</v>
      </c>
      <c r="L31" s="74">
        <f t="shared" si="26"/>
        <v>620</v>
      </c>
      <c r="M31" s="74">
        <v>370</v>
      </c>
      <c r="N31" s="74">
        <v>250</v>
      </c>
      <c r="O31" s="74">
        <v>3</v>
      </c>
      <c r="P31" s="75">
        <f t="shared" si="27"/>
        <v>951</v>
      </c>
      <c r="Q31" s="75">
        <f t="shared" si="28"/>
        <v>39</v>
      </c>
      <c r="R31" s="75">
        <f t="shared" si="43"/>
        <v>912</v>
      </c>
      <c r="S31" s="75">
        <f t="shared" si="23"/>
        <v>849</v>
      </c>
      <c r="T31" s="75">
        <f t="shared" si="29"/>
        <v>39</v>
      </c>
      <c r="U31" s="75">
        <f t="shared" si="24"/>
        <v>810</v>
      </c>
      <c r="V31" s="75">
        <f t="shared" si="30"/>
        <v>760</v>
      </c>
      <c r="W31" s="75">
        <f t="shared" si="31"/>
        <v>39</v>
      </c>
      <c r="X31" s="75">
        <f t="shared" si="32"/>
        <v>721</v>
      </c>
      <c r="Y31" s="75">
        <f t="shared" si="33"/>
        <v>2560</v>
      </c>
      <c r="Z31" s="79">
        <f t="shared" si="34"/>
        <v>117</v>
      </c>
      <c r="AA31" s="75">
        <f t="shared" si="44"/>
        <v>2443</v>
      </c>
      <c r="AB31" s="87">
        <f t="shared" si="35"/>
        <v>4072</v>
      </c>
      <c r="AC31" s="87">
        <f t="shared" si="36"/>
        <v>2443</v>
      </c>
      <c r="AD31" s="87">
        <f t="shared" si="37"/>
        <v>1629</v>
      </c>
      <c r="AE31" s="88">
        <f t="shared" si="38"/>
        <v>856</v>
      </c>
      <c r="AF31" s="88">
        <f t="shared" si="39"/>
        <v>514</v>
      </c>
      <c r="AG31" s="88">
        <f t="shared" si="40"/>
        <v>342</v>
      </c>
      <c r="AH31" s="88">
        <v>62</v>
      </c>
      <c r="AI31" s="96">
        <v>69</v>
      </c>
      <c r="AJ31" s="97">
        <f t="shared" si="41"/>
        <v>403</v>
      </c>
      <c r="AK31" s="97">
        <f t="shared" si="42"/>
        <v>269</v>
      </c>
      <c r="HU31" s="56"/>
      <c r="HV31" s="56"/>
      <c r="HW31" s="56"/>
      <c r="HX31" s="56"/>
      <c r="HY31" s="56"/>
      <c r="HZ31" s="56"/>
      <c r="IA31" s="56"/>
      <c r="IB31" s="56"/>
      <c r="IC31" s="56"/>
      <c r="ID31" s="56"/>
      <c r="IE31" s="56"/>
      <c r="IF31" s="56"/>
    </row>
    <row r="32" spans="1:240" s="50" customFormat="1" ht="16.5" customHeight="1">
      <c r="A32" s="71">
        <v>620</v>
      </c>
      <c r="B32" s="64" t="s">
        <v>147</v>
      </c>
      <c r="C32" s="64">
        <f>'目标人群测算表1'!I32</f>
        <v>90737</v>
      </c>
      <c r="D32" s="64">
        <f>'目标人群测算表1'!J32</f>
        <v>86702</v>
      </c>
      <c r="E32" s="64">
        <f>'目标人群测算表1'!K32</f>
        <v>82896</v>
      </c>
      <c r="F32" s="64">
        <f>'目标人群测算表1'!L32</f>
        <v>72590</v>
      </c>
      <c r="G32" s="64">
        <f>'目标人群测算表1'!M32</f>
        <v>69362</v>
      </c>
      <c r="H32" s="64">
        <f>'目标人群测算表1'!N32</f>
        <v>66316</v>
      </c>
      <c r="I32" s="74">
        <f t="shared" si="25"/>
        <v>214</v>
      </c>
      <c r="J32" s="74">
        <v>130</v>
      </c>
      <c r="K32" s="74">
        <v>84</v>
      </c>
      <c r="L32" s="74">
        <f t="shared" si="26"/>
        <v>620</v>
      </c>
      <c r="M32" s="74">
        <v>370</v>
      </c>
      <c r="N32" s="74">
        <v>250</v>
      </c>
      <c r="O32" s="74">
        <v>5</v>
      </c>
      <c r="P32" s="75">
        <f t="shared" si="27"/>
        <v>3922</v>
      </c>
      <c r="Q32" s="75">
        <f t="shared" si="28"/>
        <v>57</v>
      </c>
      <c r="R32" s="75">
        <f t="shared" si="43"/>
        <v>3865</v>
      </c>
      <c r="S32" s="75">
        <f t="shared" si="23"/>
        <v>3751</v>
      </c>
      <c r="T32" s="75">
        <f t="shared" si="29"/>
        <v>57</v>
      </c>
      <c r="U32" s="75">
        <f t="shared" si="24"/>
        <v>3694</v>
      </c>
      <c r="V32" s="75">
        <f t="shared" si="30"/>
        <v>3588</v>
      </c>
      <c r="W32" s="75">
        <f t="shared" si="31"/>
        <v>57</v>
      </c>
      <c r="X32" s="75">
        <f t="shared" si="32"/>
        <v>3531</v>
      </c>
      <c r="Y32" s="75">
        <f t="shared" si="33"/>
        <v>11261</v>
      </c>
      <c r="Z32" s="79">
        <f t="shared" si="34"/>
        <v>171</v>
      </c>
      <c r="AA32" s="75">
        <f t="shared" si="44"/>
        <v>11090</v>
      </c>
      <c r="AB32" s="87">
        <f t="shared" si="35"/>
        <v>18484</v>
      </c>
      <c r="AC32" s="87">
        <f t="shared" si="36"/>
        <v>11090</v>
      </c>
      <c r="AD32" s="87">
        <f t="shared" si="37"/>
        <v>7394</v>
      </c>
      <c r="AE32" s="88">
        <f t="shared" si="38"/>
        <v>3902</v>
      </c>
      <c r="AF32" s="88">
        <f t="shared" si="39"/>
        <v>2341</v>
      </c>
      <c r="AG32" s="88">
        <f t="shared" si="40"/>
        <v>1561</v>
      </c>
      <c r="AH32" s="88">
        <v>62</v>
      </c>
      <c r="AI32" s="96">
        <v>69</v>
      </c>
      <c r="AJ32" s="97">
        <f t="shared" si="41"/>
        <v>1831</v>
      </c>
      <c r="AK32" s="97">
        <f t="shared" si="42"/>
        <v>1220</v>
      </c>
      <c r="HU32" s="56"/>
      <c r="HV32" s="56"/>
      <c r="HW32" s="56"/>
      <c r="HX32" s="56"/>
      <c r="HY32" s="56"/>
      <c r="HZ32" s="56"/>
      <c r="IA32" s="56"/>
      <c r="IB32" s="56"/>
      <c r="IC32" s="56"/>
      <c r="ID32" s="56"/>
      <c r="IE32" s="56"/>
      <c r="IF32" s="56"/>
    </row>
    <row r="33" spans="1:240" s="50" customFormat="1" ht="16.5" customHeight="1">
      <c r="A33" s="71">
        <v>621</v>
      </c>
      <c r="B33" s="67" t="s">
        <v>154</v>
      </c>
      <c r="C33" s="64">
        <f>'目标人群测算表1'!I33</f>
        <v>32108</v>
      </c>
      <c r="D33" s="64">
        <f>'目标人群测算表1'!J33</f>
        <v>32108</v>
      </c>
      <c r="E33" s="64">
        <f>'目标人群测算表1'!K33</f>
        <v>32108</v>
      </c>
      <c r="F33" s="64">
        <f>'目标人群测算表1'!L33</f>
        <v>25687</v>
      </c>
      <c r="G33" s="64">
        <f>'目标人群测算表1'!M33</f>
        <v>25687</v>
      </c>
      <c r="H33" s="64">
        <f>'目标人群测算表1'!N33</f>
        <v>25687</v>
      </c>
      <c r="I33" s="74">
        <f t="shared" si="25"/>
        <v>214</v>
      </c>
      <c r="J33" s="74">
        <v>130</v>
      </c>
      <c r="K33" s="74">
        <v>84</v>
      </c>
      <c r="L33" s="74">
        <f t="shared" si="26"/>
        <v>620</v>
      </c>
      <c r="M33" s="74">
        <v>370</v>
      </c>
      <c r="N33" s="74">
        <v>250</v>
      </c>
      <c r="O33" s="74">
        <v>5</v>
      </c>
      <c r="P33" s="75">
        <f t="shared" si="27"/>
        <v>1425</v>
      </c>
      <c r="Q33" s="75">
        <f t="shared" si="28"/>
        <v>57</v>
      </c>
      <c r="R33" s="75">
        <f t="shared" si="43"/>
        <v>1368</v>
      </c>
      <c r="S33" s="75">
        <f t="shared" si="23"/>
        <v>1425</v>
      </c>
      <c r="T33" s="75">
        <f t="shared" si="29"/>
        <v>57</v>
      </c>
      <c r="U33" s="75">
        <f t="shared" si="24"/>
        <v>1368</v>
      </c>
      <c r="V33" s="75">
        <f t="shared" si="30"/>
        <v>1425</v>
      </c>
      <c r="W33" s="75">
        <f t="shared" si="31"/>
        <v>57</v>
      </c>
      <c r="X33" s="75">
        <f t="shared" si="32"/>
        <v>1368</v>
      </c>
      <c r="Y33" s="75">
        <f t="shared" si="33"/>
        <v>4275</v>
      </c>
      <c r="Z33" s="79">
        <f t="shared" si="34"/>
        <v>171</v>
      </c>
      <c r="AA33" s="75">
        <f t="shared" si="44"/>
        <v>4104</v>
      </c>
      <c r="AB33" s="87">
        <f t="shared" si="35"/>
        <v>6839</v>
      </c>
      <c r="AC33" s="87">
        <f t="shared" si="36"/>
        <v>4104</v>
      </c>
      <c r="AD33" s="87">
        <f t="shared" si="37"/>
        <v>2736</v>
      </c>
      <c r="AE33" s="88">
        <f t="shared" si="38"/>
        <v>1447</v>
      </c>
      <c r="AF33" s="88">
        <f t="shared" si="39"/>
        <v>868</v>
      </c>
      <c r="AG33" s="88">
        <f t="shared" si="40"/>
        <v>579</v>
      </c>
      <c r="AH33" s="88">
        <v>62</v>
      </c>
      <c r="AI33" s="96">
        <v>69</v>
      </c>
      <c r="AJ33" s="97">
        <f t="shared" si="41"/>
        <v>677</v>
      </c>
      <c r="AK33" s="97">
        <f t="shared" si="42"/>
        <v>452</v>
      </c>
      <c r="HU33" s="56"/>
      <c r="HV33" s="56"/>
      <c r="HW33" s="56"/>
      <c r="HX33" s="56"/>
      <c r="HY33" s="56"/>
      <c r="HZ33" s="56"/>
      <c r="IA33" s="56"/>
      <c r="IB33" s="56"/>
      <c r="IC33" s="56"/>
      <c r="ID33" s="56"/>
      <c r="IE33" s="56"/>
      <c r="IF33" s="56"/>
    </row>
    <row r="34" spans="1:37" s="55" customFormat="1" ht="60" customHeight="1">
      <c r="A34" s="72" t="s">
        <v>338</v>
      </c>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91"/>
      <c r="AC34" s="91"/>
      <c r="AD34" s="92"/>
      <c r="AE34" s="93"/>
      <c r="AF34" s="93"/>
      <c r="AG34" s="93"/>
      <c r="AH34" s="93"/>
      <c r="AI34" s="93"/>
      <c r="AJ34" s="93"/>
      <c r="AK34" s="93"/>
    </row>
    <row r="35" spans="9:17" s="55" customFormat="1" ht="15" customHeight="1">
      <c r="I35" s="76"/>
      <c r="J35" s="76"/>
      <c r="K35" s="76"/>
      <c r="L35" s="76"/>
      <c r="M35" s="76"/>
      <c r="N35" s="76"/>
      <c r="O35" s="76"/>
      <c r="P35" s="77"/>
      <c r="Q35" s="80"/>
    </row>
    <row r="36" spans="9:17" s="55" customFormat="1" ht="15" customHeight="1">
      <c r="I36" s="76"/>
      <c r="J36" s="76"/>
      <c r="K36" s="76"/>
      <c r="L36" s="76"/>
      <c r="M36" s="76"/>
      <c r="N36" s="76"/>
      <c r="O36" s="76"/>
      <c r="P36" s="77"/>
      <c r="Q36" s="80"/>
    </row>
    <row r="37" spans="9:17" s="55" customFormat="1" ht="15" customHeight="1">
      <c r="I37" s="76"/>
      <c r="J37" s="76"/>
      <c r="K37" s="76"/>
      <c r="L37" s="76"/>
      <c r="M37" s="76"/>
      <c r="N37" s="76"/>
      <c r="O37" s="76"/>
      <c r="P37" s="77"/>
      <c r="Q37" s="80"/>
    </row>
    <row r="38" spans="9:17" s="55" customFormat="1" ht="15" customHeight="1">
      <c r="I38" s="76"/>
      <c r="J38" s="76"/>
      <c r="K38" s="76"/>
      <c r="L38" s="76"/>
      <c r="M38" s="76"/>
      <c r="N38" s="76"/>
      <c r="O38" s="76"/>
      <c r="P38" s="77"/>
      <c r="Q38" s="80"/>
    </row>
    <row r="39" spans="9:17" s="55" customFormat="1" ht="15" customHeight="1">
      <c r="I39" s="76"/>
      <c r="J39" s="76"/>
      <c r="K39" s="76"/>
      <c r="L39" s="76"/>
      <c r="M39" s="76"/>
      <c r="N39" s="76"/>
      <c r="O39" s="76"/>
      <c r="P39" s="77"/>
      <c r="Q39" s="80"/>
    </row>
    <row r="40" spans="9:17" s="55" customFormat="1" ht="15" customHeight="1">
      <c r="I40" s="76"/>
      <c r="J40" s="76"/>
      <c r="K40" s="76"/>
      <c r="L40" s="76"/>
      <c r="M40" s="76"/>
      <c r="N40" s="76"/>
      <c r="O40" s="76"/>
      <c r="P40" s="77"/>
      <c r="Q40" s="80"/>
    </row>
    <row r="41" spans="9:17" s="55" customFormat="1" ht="15" customHeight="1">
      <c r="I41" s="76"/>
      <c r="J41" s="76"/>
      <c r="K41" s="76"/>
      <c r="L41" s="76"/>
      <c r="M41" s="76"/>
      <c r="N41" s="76"/>
      <c r="O41" s="76"/>
      <c r="P41" s="77"/>
      <c r="Q41" s="80"/>
    </row>
    <row r="42" spans="9:17" s="55" customFormat="1" ht="15" customHeight="1">
      <c r="I42" s="76"/>
      <c r="J42" s="76"/>
      <c r="K42" s="76"/>
      <c r="L42" s="76"/>
      <c r="M42" s="76"/>
      <c r="N42" s="76"/>
      <c r="O42" s="76"/>
      <c r="P42" s="77"/>
      <c r="Q42" s="80"/>
    </row>
    <row r="43" spans="9:17" s="55" customFormat="1" ht="15" customHeight="1">
      <c r="I43" s="76"/>
      <c r="J43" s="76"/>
      <c r="K43" s="76"/>
      <c r="L43" s="76"/>
      <c r="M43" s="76"/>
      <c r="N43" s="76"/>
      <c r="O43" s="76"/>
      <c r="P43" s="77"/>
      <c r="Q43" s="80"/>
    </row>
    <row r="44" spans="9:17" s="55" customFormat="1" ht="15" customHeight="1">
      <c r="I44" s="76"/>
      <c r="J44" s="76"/>
      <c r="K44" s="76"/>
      <c r="L44" s="76"/>
      <c r="M44" s="76"/>
      <c r="N44" s="76"/>
      <c r="O44" s="76"/>
      <c r="P44" s="77"/>
      <c r="Q44" s="80"/>
    </row>
    <row r="45" spans="9:17" s="55" customFormat="1" ht="15" customHeight="1">
      <c r="I45" s="76"/>
      <c r="J45" s="76"/>
      <c r="K45" s="76"/>
      <c r="L45" s="76"/>
      <c r="M45" s="76"/>
      <c r="N45" s="76"/>
      <c r="O45" s="76"/>
      <c r="P45" s="77"/>
      <c r="Q45" s="80"/>
    </row>
    <row r="46" spans="9:17" s="55" customFormat="1" ht="15" customHeight="1">
      <c r="I46" s="76"/>
      <c r="J46" s="76"/>
      <c r="K46" s="76"/>
      <c r="L46" s="76"/>
      <c r="M46" s="76"/>
      <c r="N46" s="76"/>
      <c r="O46" s="76"/>
      <c r="P46" s="77"/>
      <c r="Q46" s="80"/>
    </row>
    <row r="47" spans="9:17" s="55" customFormat="1" ht="15" customHeight="1">
      <c r="I47" s="76"/>
      <c r="J47" s="76"/>
      <c r="K47" s="76"/>
      <c r="L47" s="76"/>
      <c r="M47" s="76"/>
      <c r="N47" s="76"/>
      <c r="O47" s="76"/>
      <c r="P47" s="77"/>
      <c r="Q47" s="80"/>
    </row>
    <row r="48" spans="9:17" s="55" customFormat="1" ht="15" customHeight="1">
      <c r="I48" s="76"/>
      <c r="J48" s="76"/>
      <c r="K48" s="76"/>
      <c r="L48" s="76"/>
      <c r="M48" s="76"/>
      <c r="N48" s="76"/>
      <c r="O48" s="76"/>
      <c r="P48" s="77"/>
      <c r="Q48" s="80"/>
    </row>
    <row r="49" spans="9:17" s="55" customFormat="1" ht="15" customHeight="1">
      <c r="I49" s="76"/>
      <c r="J49" s="76"/>
      <c r="K49" s="76"/>
      <c r="L49" s="76"/>
      <c r="M49" s="76"/>
      <c r="N49" s="76"/>
      <c r="O49" s="76"/>
      <c r="P49" s="77"/>
      <c r="Q49" s="80"/>
    </row>
    <row r="50" spans="9:17" s="55" customFormat="1" ht="15" customHeight="1">
      <c r="I50" s="76"/>
      <c r="J50" s="76"/>
      <c r="K50" s="76"/>
      <c r="L50" s="76"/>
      <c r="M50" s="76"/>
      <c r="N50" s="76"/>
      <c r="O50" s="76"/>
      <c r="P50" s="77"/>
      <c r="Q50" s="80"/>
    </row>
    <row r="51" spans="9:17" s="55" customFormat="1" ht="15" customHeight="1">
      <c r="I51" s="76"/>
      <c r="J51" s="76"/>
      <c r="K51" s="76"/>
      <c r="L51" s="76"/>
      <c r="M51" s="76"/>
      <c r="N51" s="76"/>
      <c r="O51" s="76"/>
      <c r="P51" s="77"/>
      <c r="Q51" s="80"/>
    </row>
    <row r="52" spans="9:17" s="55" customFormat="1" ht="15" customHeight="1">
      <c r="I52" s="76"/>
      <c r="J52" s="76"/>
      <c r="K52" s="76"/>
      <c r="L52" s="76"/>
      <c r="M52" s="76"/>
      <c r="N52" s="76"/>
      <c r="O52" s="76"/>
      <c r="P52" s="77"/>
      <c r="Q52" s="80"/>
    </row>
    <row r="53" spans="9:17" s="55" customFormat="1" ht="15" customHeight="1">
      <c r="I53" s="76"/>
      <c r="J53" s="76"/>
      <c r="K53" s="76"/>
      <c r="L53" s="76"/>
      <c r="M53" s="76"/>
      <c r="N53" s="76"/>
      <c r="O53" s="76"/>
      <c r="P53" s="77"/>
      <c r="Q53" s="80"/>
    </row>
    <row r="54" spans="9:17" s="55" customFormat="1" ht="15" customHeight="1">
      <c r="I54" s="76"/>
      <c r="J54" s="76"/>
      <c r="K54" s="76"/>
      <c r="L54" s="76"/>
      <c r="M54" s="76"/>
      <c r="N54" s="76"/>
      <c r="O54" s="76"/>
      <c r="P54" s="77"/>
      <c r="Q54" s="80"/>
    </row>
    <row r="55" spans="9:17" s="55" customFormat="1" ht="15" customHeight="1">
      <c r="I55" s="76"/>
      <c r="J55" s="76"/>
      <c r="K55" s="76"/>
      <c r="L55" s="76"/>
      <c r="M55" s="76"/>
      <c r="N55" s="76"/>
      <c r="O55" s="76"/>
      <c r="P55" s="77"/>
      <c r="Q55" s="80"/>
    </row>
    <row r="56" spans="9:17" s="55" customFormat="1" ht="15" customHeight="1">
      <c r="I56" s="76"/>
      <c r="J56" s="76"/>
      <c r="K56" s="76"/>
      <c r="L56" s="76"/>
      <c r="M56" s="76"/>
      <c r="N56" s="76"/>
      <c r="O56" s="76"/>
      <c r="P56" s="77"/>
      <c r="Q56" s="80"/>
    </row>
    <row r="57" spans="9:17" s="55" customFormat="1" ht="15" customHeight="1">
      <c r="I57" s="76"/>
      <c r="J57" s="76"/>
      <c r="K57" s="76"/>
      <c r="L57" s="76"/>
      <c r="M57" s="76"/>
      <c r="N57" s="76"/>
      <c r="O57" s="76"/>
      <c r="P57" s="77"/>
      <c r="Q57" s="80"/>
    </row>
    <row r="58" spans="9:17" s="55" customFormat="1" ht="15" customHeight="1">
      <c r="I58" s="76"/>
      <c r="J58" s="76"/>
      <c r="K58" s="76"/>
      <c r="L58" s="76"/>
      <c r="M58" s="76"/>
      <c r="N58" s="76"/>
      <c r="O58" s="76"/>
      <c r="P58" s="77"/>
      <c r="Q58" s="80"/>
    </row>
    <row r="59" spans="9:17" s="55" customFormat="1" ht="15" customHeight="1">
      <c r="I59" s="76"/>
      <c r="J59" s="76"/>
      <c r="K59" s="76"/>
      <c r="L59" s="76"/>
      <c r="M59" s="76"/>
      <c r="N59" s="76"/>
      <c r="O59" s="76"/>
      <c r="P59" s="77"/>
      <c r="Q59" s="80"/>
    </row>
    <row r="60" spans="9:17" s="55" customFormat="1" ht="15" customHeight="1">
      <c r="I60" s="76"/>
      <c r="J60" s="76"/>
      <c r="K60" s="76"/>
      <c r="L60" s="76"/>
      <c r="M60" s="76"/>
      <c r="N60" s="76"/>
      <c r="O60" s="76"/>
      <c r="P60" s="77"/>
      <c r="Q60" s="80"/>
    </row>
    <row r="61" spans="9:17" s="55" customFormat="1" ht="15" customHeight="1">
      <c r="I61" s="76"/>
      <c r="J61" s="76"/>
      <c r="K61" s="76"/>
      <c r="L61" s="76"/>
      <c r="M61" s="76"/>
      <c r="N61" s="76"/>
      <c r="O61" s="76"/>
      <c r="P61" s="77"/>
      <c r="Q61" s="80"/>
    </row>
    <row r="62" spans="9:17" s="55" customFormat="1" ht="15" customHeight="1">
      <c r="I62" s="76"/>
      <c r="J62" s="76"/>
      <c r="K62" s="76"/>
      <c r="L62" s="76"/>
      <c r="M62" s="76"/>
      <c r="N62" s="76"/>
      <c r="O62" s="76"/>
      <c r="P62" s="77"/>
      <c r="Q62" s="80"/>
    </row>
    <row r="63" spans="9:17" s="55" customFormat="1" ht="15" customHeight="1">
      <c r="I63" s="76"/>
      <c r="J63" s="76"/>
      <c r="K63" s="76"/>
      <c r="L63" s="76"/>
      <c r="M63" s="76"/>
      <c r="N63" s="76"/>
      <c r="O63" s="76"/>
      <c r="P63" s="77"/>
      <c r="Q63" s="80"/>
    </row>
    <row r="64" spans="9:17" s="55" customFormat="1" ht="15" customHeight="1">
      <c r="I64" s="76"/>
      <c r="J64" s="76"/>
      <c r="K64" s="76"/>
      <c r="L64" s="76"/>
      <c r="M64" s="76"/>
      <c r="N64" s="76"/>
      <c r="O64" s="76"/>
      <c r="P64" s="77"/>
      <c r="Q64" s="80"/>
    </row>
    <row r="65" spans="9:17" s="55" customFormat="1" ht="15" customHeight="1">
      <c r="I65" s="76"/>
      <c r="J65" s="76"/>
      <c r="K65" s="76"/>
      <c r="L65" s="76"/>
      <c r="M65" s="76"/>
      <c r="N65" s="76"/>
      <c r="O65" s="76"/>
      <c r="P65" s="77"/>
      <c r="Q65" s="80"/>
    </row>
    <row r="66" spans="9:17" s="55" customFormat="1" ht="15" customHeight="1">
      <c r="I66" s="76"/>
      <c r="J66" s="76"/>
      <c r="K66" s="76"/>
      <c r="L66" s="76"/>
      <c r="M66" s="76"/>
      <c r="N66" s="76"/>
      <c r="O66" s="76"/>
      <c r="P66" s="77"/>
      <c r="Q66" s="80"/>
    </row>
    <row r="67" spans="9:17" s="55" customFormat="1" ht="15" customHeight="1">
      <c r="I67" s="76"/>
      <c r="J67" s="76"/>
      <c r="K67" s="76"/>
      <c r="L67" s="76"/>
      <c r="M67" s="76"/>
      <c r="N67" s="76"/>
      <c r="O67" s="76"/>
      <c r="P67" s="77"/>
      <c r="Q67" s="80"/>
    </row>
    <row r="68" spans="9:17" s="55" customFormat="1" ht="15" customHeight="1">
      <c r="I68" s="76"/>
      <c r="J68" s="76"/>
      <c r="K68" s="76"/>
      <c r="L68" s="76"/>
      <c r="M68" s="76"/>
      <c r="N68" s="76"/>
      <c r="O68" s="76"/>
      <c r="P68" s="77"/>
      <c r="Q68" s="80"/>
    </row>
    <row r="69" spans="9:17" s="55" customFormat="1" ht="15" customHeight="1">
      <c r="I69" s="76"/>
      <c r="J69" s="76"/>
      <c r="K69" s="76"/>
      <c r="L69" s="76"/>
      <c r="M69" s="76"/>
      <c r="N69" s="76"/>
      <c r="O69" s="76"/>
      <c r="P69" s="77"/>
      <c r="Q69" s="80"/>
    </row>
    <row r="70" spans="9:17" s="55" customFormat="1" ht="15" customHeight="1">
      <c r="I70" s="76"/>
      <c r="J70" s="76"/>
      <c r="K70" s="76"/>
      <c r="L70" s="76"/>
      <c r="M70" s="76"/>
      <c r="N70" s="76"/>
      <c r="O70" s="76"/>
      <c r="P70" s="77"/>
      <c r="Q70" s="80"/>
    </row>
    <row r="71" spans="9:17" s="55" customFormat="1" ht="15" customHeight="1">
      <c r="I71" s="76"/>
      <c r="J71" s="76"/>
      <c r="K71" s="76"/>
      <c r="L71" s="76"/>
      <c r="M71" s="76"/>
      <c r="N71" s="76"/>
      <c r="O71" s="76"/>
      <c r="P71" s="77"/>
      <c r="Q71" s="80"/>
    </row>
    <row r="72" spans="9:17" s="55" customFormat="1" ht="15" customHeight="1">
      <c r="I72" s="76"/>
      <c r="J72" s="76"/>
      <c r="K72" s="76"/>
      <c r="L72" s="76"/>
      <c r="M72" s="76"/>
      <c r="N72" s="76"/>
      <c r="O72" s="76"/>
      <c r="P72" s="77"/>
      <c r="Q72" s="80"/>
    </row>
    <row r="73" spans="9:17" s="55" customFormat="1" ht="15" customHeight="1">
      <c r="I73" s="76"/>
      <c r="J73" s="76"/>
      <c r="K73" s="76"/>
      <c r="L73" s="76"/>
      <c r="M73" s="76"/>
      <c r="N73" s="76"/>
      <c r="O73" s="76"/>
      <c r="P73" s="77"/>
      <c r="Q73" s="80"/>
    </row>
    <row r="74" spans="9:17" s="55" customFormat="1" ht="15" customHeight="1">
      <c r="I74" s="76"/>
      <c r="J74" s="76"/>
      <c r="K74" s="76"/>
      <c r="L74" s="76"/>
      <c r="M74" s="76"/>
      <c r="N74" s="76"/>
      <c r="O74" s="76"/>
      <c r="P74" s="77"/>
      <c r="Q74" s="80"/>
    </row>
    <row r="75" spans="9:17" s="55" customFormat="1" ht="15" customHeight="1">
      <c r="I75" s="76"/>
      <c r="J75" s="76"/>
      <c r="K75" s="76"/>
      <c r="L75" s="76"/>
      <c r="M75" s="76"/>
      <c r="N75" s="76"/>
      <c r="O75" s="76"/>
      <c r="P75" s="77"/>
      <c r="Q75" s="80"/>
    </row>
    <row r="76" spans="9:17" s="55" customFormat="1" ht="15" customHeight="1">
      <c r="I76" s="76"/>
      <c r="J76" s="76"/>
      <c r="K76" s="76"/>
      <c r="L76" s="76"/>
      <c r="M76" s="76"/>
      <c r="N76" s="76"/>
      <c r="O76" s="76"/>
      <c r="P76" s="77"/>
      <c r="Q76" s="80"/>
    </row>
    <row r="77" spans="9:17" s="55" customFormat="1" ht="15" customHeight="1">
      <c r="I77" s="76"/>
      <c r="J77" s="76"/>
      <c r="K77" s="76"/>
      <c r="L77" s="76"/>
      <c r="M77" s="76"/>
      <c r="N77" s="76"/>
      <c r="O77" s="76"/>
      <c r="P77" s="77"/>
      <c r="Q77" s="80"/>
    </row>
    <row r="78" spans="9:17" s="55" customFormat="1" ht="15" customHeight="1">
      <c r="I78" s="76"/>
      <c r="J78" s="76"/>
      <c r="K78" s="76"/>
      <c r="L78" s="76"/>
      <c r="M78" s="76"/>
      <c r="N78" s="76"/>
      <c r="O78" s="76"/>
      <c r="P78" s="77"/>
      <c r="Q78" s="80"/>
    </row>
    <row r="79" spans="9:17" s="55" customFormat="1" ht="15" customHeight="1">
      <c r="I79" s="76"/>
      <c r="J79" s="76"/>
      <c r="K79" s="76"/>
      <c r="L79" s="76"/>
      <c r="M79" s="76"/>
      <c r="N79" s="76"/>
      <c r="O79" s="76"/>
      <c r="P79" s="77"/>
      <c r="Q79" s="80"/>
    </row>
    <row r="80" spans="9:17" s="55" customFormat="1" ht="15" customHeight="1">
      <c r="I80" s="76"/>
      <c r="J80" s="76"/>
      <c r="K80" s="76"/>
      <c r="L80" s="76"/>
      <c r="M80" s="76"/>
      <c r="N80" s="76"/>
      <c r="O80" s="76"/>
      <c r="P80" s="77"/>
      <c r="Q80" s="80"/>
    </row>
    <row r="81" spans="9:17" s="55" customFormat="1" ht="15" customHeight="1">
      <c r="I81" s="76"/>
      <c r="J81" s="76"/>
      <c r="K81" s="76"/>
      <c r="L81" s="76"/>
      <c r="M81" s="76"/>
      <c r="N81" s="76"/>
      <c r="O81" s="76"/>
      <c r="P81" s="77"/>
      <c r="Q81" s="80"/>
    </row>
    <row r="82" spans="9:17" s="55" customFormat="1" ht="15" customHeight="1">
      <c r="I82" s="76"/>
      <c r="J82" s="76"/>
      <c r="K82" s="76"/>
      <c r="L82" s="76"/>
      <c r="M82" s="76"/>
      <c r="N82" s="76"/>
      <c r="O82" s="76"/>
      <c r="P82" s="77"/>
      <c r="Q82" s="80"/>
    </row>
    <row r="83" spans="9:17" s="55" customFormat="1" ht="15" customHeight="1">
      <c r="I83" s="76"/>
      <c r="J83" s="76"/>
      <c r="K83" s="76"/>
      <c r="L83" s="76"/>
      <c r="M83" s="76"/>
      <c r="N83" s="76"/>
      <c r="O83" s="76"/>
      <c r="P83" s="77"/>
      <c r="Q83" s="80"/>
    </row>
    <row r="84" spans="9:17" s="55" customFormat="1" ht="15" customHeight="1">
      <c r="I84" s="76"/>
      <c r="J84" s="76"/>
      <c r="K84" s="76"/>
      <c r="L84" s="76"/>
      <c r="M84" s="76"/>
      <c r="N84" s="76"/>
      <c r="O84" s="76"/>
      <c r="P84" s="77"/>
      <c r="Q84" s="80"/>
    </row>
    <row r="85" spans="9:17" s="55" customFormat="1" ht="15" customHeight="1">
      <c r="I85" s="76"/>
      <c r="J85" s="76"/>
      <c r="K85" s="76"/>
      <c r="L85" s="76"/>
      <c r="M85" s="76"/>
      <c r="N85" s="76"/>
      <c r="O85" s="76"/>
      <c r="P85" s="77"/>
      <c r="Q85" s="80"/>
    </row>
    <row r="86" spans="9:17" s="55" customFormat="1" ht="15" customHeight="1">
      <c r="I86" s="76"/>
      <c r="J86" s="76"/>
      <c r="K86" s="76"/>
      <c r="L86" s="76"/>
      <c r="M86" s="76"/>
      <c r="N86" s="76"/>
      <c r="O86" s="76"/>
      <c r="P86" s="77"/>
      <c r="Q86" s="80"/>
    </row>
    <row r="87" spans="9:17" s="55" customFormat="1" ht="15" customHeight="1">
      <c r="I87" s="76"/>
      <c r="J87" s="76"/>
      <c r="K87" s="76"/>
      <c r="L87" s="76"/>
      <c r="M87" s="76"/>
      <c r="N87" s="76"/>
      <c r="O87" s="76"/>
      <c r="P87" s="77"/>
      <c r="Q87" s="80"/>
    </row>
    <row r="88" spans="9:17" s="55" customFormat="1" ht="15" customHeight="1">
      <c r="I88" s="76"/>
      <c r="J88" s="76"/>
      <c r="K88" s="76"/>
      <c r="L88" s="76"/>
      <c r="M88" s="76"/>
      <c r="N88" s="76"/>
      <c r="O88" s="76"/>
      <c r="P88" s="77"/>
      <c r="Q88" s="80"/>
    </row>
    <row r="89" spans="9:17" s="55" customFormat="1" ht="15" customHeight="1">
      <c r="I89" s="76"/>
      <c r="J89" s="76"/>
      <c r="K89" s="76"/>
      <c r="L89" s="76"/>
      <c r="M89" s="76"/>
      <c r="N89" s="76"/>
      <c r="O89" s="76"/>
      <c r="P89" s="77"/>
      <c r="Q89" s="80"/>
    </row>
    <row r="90" spans="9:17" s="55" customFormat="1" ht="15" customHeight="1">
      <c r="I90" s="76"/>
      <c r="J90" s="76"/>
      <c r="K90" s="76"/>
      <c r="L90" s="76"/>
      <c r="M90" s="76"/>
      <c r="N90" s="76"/>
      <c r="O90" s="76"/>
      <c r="P90" s="77"/>
      <c r="Q90" s="80"/>
    </row>
    <row r="91" spans="9:17" s="55" customFormat="1" ht="15" customHeight="1">
      <c r="I91" s="76"/>
      <c r="J91" s="76"/>
      <c r="K91" s="76"/>
      <c r="L91" s="76"/>
      <c r="M91" s="76"/>
      <c r="N91" s="76"/>
      <c r="O91" s="76"/>
      <c r="P91" s="77"/>
      <c r="Q91" s="80"/>
    </row>
    <row r="92" spans="9:17" s="55" customFormat="1" ht="15" customHeight="1">
      <c r="I92" s="76"/>
      <c r="J92" s="76"/>
      <c r="K92" s="76"/>
      <c r="L92" s="76"/>
      <c r="M92" s="76"/>
      <c r="N92" s="76"/>
      <c r="O92" s="76"/>
      <c r="P92" s="77"/>
      <c r="Q92" s="80"/>
    </row>
    <row r="93" spans="9:17" s="55" customFormat="1" ht="15" customHeight="1">
      <c r="I93" s="76"/>
      <c r="J93" s="76"/>
      <c r="K93" s="76"/>
      <c r="L93" s="76"/>
      <c r="M93" s="76"/>
      <c r="N93" s="76"/>
      <c r="O93" s="76"/>
      <c r="P93" s="77"/>
      <c r="Q93" s="80"/>
    </row>
    <row r="94" spans="9:17" s="55" customFormat="1" ht="15" customHeight="1">
      <c r="I94" s="76"/>
      <c r="J94" s="76"/>
      <c r="K94" s="76"/>
      <c r="L94" s="76"/>
      <c r="M94" s="76"/>
      <c r="N94" s="76"/>
      <c r="O94" s="76"/>
      <c r="P94" s="77"/>
      <c r="Q94" s="80"/>
    </row>
    <row r="95" spans="9:17" s="55" customFormat="1" ht="15" customHeight="1">
      <c r="I95" s="76"/>
      <c r="J95" s="76"/>
      <c r="K95" s="76"/>
      <c r="L95" s="76"/>
      <c r="M95" s="76"/>
      <c r="N95" s="76"/>
      <c r="O95" s="76"/>
      <c r="P95" s="77"/>
      <c r="Q95" s="80"/>
    </row>
    <row r="96" spans="9:17" s="55" customFormat="1" ht="15" customHeight="1">
      <c r="I96" s="76"/>
      <c r="J96" s="76"/>
      <c r="K96" s="76"/>
      <c r="L96" s="76"/>
      <c r="M96" s="76"/>
      <c r="N96" s="76"/>
      <c r="O96" s="76"/>
      <c r="P96" s="77"/>
      <c r="Q96" s="80"/>
    </row>
    <row r="97" spans="9:17" s="55" customFormat="1" ht="15" customHeight="1">
      <c r="I97" s="76"/>
      <c r="J97" s="76"/>
      <c r="K97" s="76"/>
      <c r="L97" s="76"/>
      <c r="M97" s="76"/>
      <c r="N97" s="76"/>
      <c r="O97" s="76"/>
      <c r="P97" s="77"/>
      <c r="Q97" s="80"/>
    </row>
    <row r="98" spans="9:17" s="55" customFormat="1" ht="15" customHeight="1">
      <c r="I98" s="76"/>
      <c r="J98" s="76"/>
      <c r="K98" s="76"/>
      <c r="L98" s="76"/>
      <c r="M98" s="76"/>
      <c r="N98" s="76"/>
      <c r="O98" s="76"/>
      <c r="P98" s="77"/>
      <c r="Q98" s="80"/>
    </row>
    <row r="99" spans="9:17" s="55" customFormat="1" ht="15" customHeight="1">
      <c r="I99" s="76"/>
      <c r="J99" s="76"/>
      <c r="K99" s="76"/>
      <c r="L99" s="76"/>
      <c r="M99" s="76"/>
      <c r="N99" s="76"/>
      <c r="O99" s="76"/>
      <c r="P99" s="77"/>
      <c r="Q99" s="80"/>
    </row>
    <row r="100" spans="9:17" s="55" customFormat="1" ht="15" customHeight="1">
      <c r="I100" s="76"/>
      <c r="J100" s="76"/>
      <c r="K100" s="76"/>
      <c r="L100" s="76"/>
      <c r="M100" s="76"/>
      <c r="N100" s="76"/>
      <c r="O100" s="76"/>
      <c r="P100" s="77"/>
      <c r="Q100" s="80"/>
    </row>
    <row r="101" spans="9:17" s="55" customFormat="1" ht="15" customHeight="1">
      <c r="I101" s="76"/>
      <c r="J101" s="76"/>
      <c r="K101" s="76"/>
      <c r="L101" s="76"/>
      <c r="M101" s="76"/>
      <c r="N101" s="76"/>
      <c r="O101" s="76"/>
      <c r="P101" s="77"/>
      <c r="Q101" s="80"/>
    </row>
    <row r="102" spans="9:17" s="55" customFormat="1" ht="15" customHeight="1">
      <c r="I102" s="76"/>
      <c r="J102" s="76"/>
      <c r="K102" s="76"/>
      <c r="L102" s="76"/>
      <c r="M102" s="76"/>
      <c r="N102" s="76"/>
      <c r="O102" s="76"/>
      <c r="P102" s="77"/>
      <c r="Q102" s="80"/>
    </row>
    <row r="103" spans="9:17" s="55" customFormat="1" ht="15" customHeight="1">
      <c r="I103" s="76"/>
      <c r="J103" s="76"/>
      <c r="K103" s="76"/>
      <c r="L103" s="76"/>
      <c r="M103" s="76"/>
      <c r="N103" s="76"/>
      <c r="O103" s="76"/>
      <c r="P103" s="77"/>
      <c r="Q103" s="80"/>
    </row>
    <row r="104" spans="9:17" s="55" customFormat="1" ht="15" customHeight="1">
      <c r="I104" s="76"/>
      <c r="J104" s="76"/>
      <c r="K104" s="76"/>
      <c r="L104" s="76"/>
      <c r="M104" s="76"/>
      <c r="N104" s="76"/>
      <c r="O104" s="76"/>
      <c r="P104" s="77"/>
      <c r="Q104" s="80"/>
    </row>
    <row r="105" spans="9:17" s="55" customFormat="1" ht="15" customHeight="1">
      <c r="I105" s="76"/>
      <c r="J105" s="76"/>
      <c r="K105" s="76"/>
      <c r="L105" s="76"/>
      <c r="M105" s="76"/>
      <c r="N105" s="76"/>
      <c r="O105" s="76"/>
      <c r="P105" s="77"/>
      <c r="Q105" s="80"/>
    </row>
    <row r="106" spans="9:17" s="55" customFormat="1" ht="15" customHeight="1">
      <c r="I106" s="76"/>
      <c r="J106" s="76"/>
      <c r="K106" s="76"/>
      <c r="L106" s="76"/>
      <c r="M106" s="76"/>
      <c r="N106" s="76"/>
      <c r="O106" s="76"/>
      <c r="P106" s="77"/>
      <c r="Q106" s="80"/>
    </row>
    <row r="107" spans="9:17" s="55" customFormat="1" ht="15" customHeight="1">
      <c r="I107" s="76"/>
      <c r="J107" s="76"/>
      <c r="K107" s="76"/>
      <c r="L107" s="76"/>
      <c r="M107" s="76"/>
      <c r="N107" s="76"/>
      <c r="O107" s="76"/>
      <c r="P107" s="77"/>
      <c r="Q107" s="80"/>
    </row>
    <row r="108" spans="9:17" s="55" customFormat="1" ht="15" customHeight="1">
      <c r="I108" s="76"/>
      <c r="J108" s="76"/>
      <c r="K108" s="76"/>
      <c r="L108" s="76"/>
      <c r="M108" s="76"/>
      <c r="N108" s="76"/>
      <c r="O108" s="76"/>
      <c r="P108" s="77"/>
      <c r="Q108" s="80"/>
    </row>
    <row r="109" spans="9:17" s="55" customFormat="1" ht="15" customHeight="1">
      <c r="I109" s="76"/>
      <c r="J109" s="76"/>
      <c r="K109" s="76"/>
      <c r="L109" s="76"/>
      <c r="M109" s="76"/>
      <c r="N109" s="76"/>
      <c r="O109" s="76"/>
      <c r="P109" s="77"/>
      <c r="Q109" s="80"/>
    </row>
    <row r="110" spans="9:17" s="55" customFormat="1" ht="15" customHeight="1">
      <c r="I110" s="76"/>
      <c r="J110" s="76"/>
      <c r="K110" s="76"/>
      <c r="L110" s="76"/>
      <c r="M110" s="76"/>
      <c r="N110" s="76"/>
      <c r="O110" s="76"/>
      <c r="P110" s="77"/>
      <c r="Q110" s="80"/>
    </row>
    <row r="111" spans="9:17" s="55" customFormat="1" ht="15" customHeight="1">
      <c r="I111" s="76"/>
      <c r="J111" s="76"/>
      <c r="K111" s="76"/>
      <c r="L111" s="76"/>
      <c r="M111" s="76"/>
      <c r="N111" s="76"/>
      <c r="O111" s="76"/>
      <c r="P111" s="77"/>
      <c r="Q111" s="80"/>
    </row>
    <row r="112" spans="9:17" s="55" customFormat="1" ht="15" customHeight="1">
      <c r="I112" s="76"/>
      <c r="J112" s="76"/>
      <c r="K112" s="76"/>
      <c r="L112" s="76"/>
      <c r="M112" s="76"/>
      <c r="N112" s="76"/>
      <c r="O112" s="76"/>
      <c r="P112" s="77"/>
      <c r="Q112" s="80"/>
    </row>
    <row r="113" spans="9:17" s="55" customFormat="1" ht="15" customHeight="1">
      <c r="I113" s="76"/>
      <c r="J113" s="76"/>
      <c r="K113" s="76"/>
      <c r="L113" s="76"/>
      <c r="M113" s="76"/>
      <c r="N113" s="76"/>
      <c r="O113" s="76"/>
      <c r="P113" s="77"/>
      <c r="Q113" s="80"/>
    </row>
    <row r="114" spans="9:17" s="55" customFormat="1" ht="15" customHeight="1">
      <c r="I114" s="76"/>
      <c r="J114" s="76"/>
      <c r="K114" s="76"/>
      <c r="L114" s="76"/>
      <c r="M114" s="76"/>
      <c r="N114" s="76"/>
      <c r="O114" s="76"/>
      <c r="P114" s="77"/>
      <c r="Q114" s="80"/>
    </row>
    <row r="115" spans="9:17" s="55" customFormat="1" ht="15" customHeight="1">
      <c r="I115" s="76"/>
      <c r="J115" s="76"/>
      <c r="K115" s="76"/>
      <c r="L115" s="76"/>
      <c r="M115" s="76"/>
      <c r="N115" s="76"/>
      <c r="O115" s="76"/>
      <c r="P115" s="77"/>
      <c r="Q115" s="80"/>
    </row>
    <row r="116" spans="9:17" s="55" customFormat="1" ht="15" customHeight="1">
      <c r="I116" s="76"/>
      <c r="J116" s="76"/>
      <c r="K116" s="76"/>
      <c r="L116" s="76"/>
      <c r="M116" s="76"/>
      <c r="N116" s="76"/>
      <c r="O116" s="76"/>
      <c r="P116" s="77"/>
      <c r="Q116" s="80"/>
    </row>
    <row r="117" spans="9:17" s="55" customFormat="1" ht="15" customHeight="1">
      <c r="I117" s="76"/>
      <c r="J117" s="76"/>
      <c r="K117" s="76"/>
      <c r="L117" s="76"/>
      <c r="M117" s="76"/>
      <c r="N117" s="76"/>
      <c r="O117" s="76"/>
      <c r="P117" s="77"/>
      <c r="Q117" s="80"/>
    </row>
    <row r="118" spans="9:17" s="55" customFormat="1" ht="15" customHeight="1">
      <c r="I118" s="76"/>
      <c r="J118" s="76"/>
      <c r="K118" s="76"/>
      <c r="L118" s="76"/>
      <c r="M118" s="76"/>
      <c r="N118" s="76"/>
      <c r="O118" s="76"/>
      <c r="P118" s="77"/>
      <c r="Q118" s="80"/>
    </row>
    <row r="119" spans="9:17" s="55" customFormat="1" ht="15" customHeight="1">
      <c r="I119" s="76"/>
      <c r="J119" s="76"/>
      <c r="K119" s="76"/>
      <c r="L119" s="76"/>
      <c r="M119" s="76"/>
      <c r="N119" s="76"/>
      <c r="O119" s="76"/>
      <c r="P119" s="77"/>
      <c r="Q119" s="80"/>
    </row>
    <row r="120" spans="9:17" s="55" customFormat="1" ht="15" customHeight="1">
      <c r="I120" s="76"/>
      <c r="J120" s="76"/>
      <c r="K120" s="76"/>
      <c r="L120" s="76"/>
      <c r="M120" s="76"/>
      <c r="N120" s="76"/>
      <c r="O120" s="76"/>
      <c r="P120" s="77"/>
      <c r="Q120" s="80"/>
    </row>
    <row r="121" spans="9:17" s="55" customFormat="1" ht="15" customHeight="1">
      <c r="I121" s="76"/>
      <c r="J121" s="76"/>
      <c r="K121" s="76"/>
      <c r="L121" s="76"/>
      <c r="M121" s="76"/>
      <c r="N121" s="76"/>
      <c r="O121" s="76"/>
      <c r="P121" s="77"/>
      <c r="Q121" s="80"/>
    </row>
    <row r="122" spans="9:17" s="55" customFormat="1" ht="15" customHeight="1">
      <c r="I122" s="76"/>
      <c r="J122" s="76"/>
      <c r="K122" s="76"/>
      <c r="L122" s="76"/>
      <c r="M122" s="76"/>
      <c r="N122" s="76"/>
      <c r="O122" s="76"/>
      <c r="P122" s="77"/>
      <c r="Q122" s="80"/>
    </row>
    <row r="123" spans="9:17" s="55" customFormat="1" ht="15" customHeight="1">
      <c r="I123" s="76"/>
      <c r="J123" s="76"/>
      <c r="K123" s="76"/>
      <c r="L123" s="76"/>
      <c r="M123" s="76"/>
      <c r="N123" s="76"/>
      <c r="O123" s="76"/>
      <c r="P123" s="77"/>
      <c r="Q123" s="80"/>
    </row>
    <row r="124" spans="9:17" s="55" customFormat="1" ht="15" customHeight="1">
      <c r="I124" s="76"/>
      <c r="J124" s="76"/>
      <c r="K124" s="76"/>
      <c r="L124" s="76"/>
      <c r="M124" s="76"/>
      <c r="N124" s="76"/>
      <c r="O124" s="76"/>
      <c r="P124" s="77"/>
      <c r="Q124" s="80"/>
    </row>
    <row r="125" spans="9:17" s="55" customFormat="1" ht="15" customHeight="1">
      <c r="I125" s="76"/>
      <c r="J125" s="76"/>
      <c r="K125" s="76"/>
      <c r="L125" s="76"/>
      <c r="M125" s="76"/>
      <c r="N125" s="76"/>
      <c r="O125" s="76"/>
      <c r="P125" s="77"/>
      <c r="Q125" s="80"/>
    </row>
    <row r="126" spans="9:17" s="55" customFormat="1" ht="15" customHeight="1">
      <c r="I126" s="76"/>
      <c r="J126" s="76"/>
      <c r="K126" s="76"/>
      <c r="L126" s="76"/>
      <c r="M126" s="76"/>
      <c r="N126" s="76"/>
      <c r="O126" s="76"/>
      <c r="P126" s="77"/>
      <c r="Q126" s="80"/>
    </row>
    <row r="127" spans="9:17" s="55" customFormat="1" ht="15" customHeight="1">
      <c r="I127" s="76"/>
      <c r="J127" s="76"/>
      <c r="K127" s="76"/>
      <c r="L127" s="76"/>
      <c r="M127" s="76"/>
      <c r="N127" s="76"/>
      <c r="O127" s="76"/>
      <c r="P127" s="77"/>
      <c r="Q127" s="80"/>
    </row>
    <row r="128" spans="9:17" s="55" customFormat="1" ht="15" customHeight="1">
      <c r="I128" s="76"/>
      <c r="J128" s="76"/>
      <c r="K128" s="76"/>
      <c r="L128" s="76"/>
      <c r="M128" s="76"/>
      <c r="N128" s="76"/>
      <c r="O128" s="76"/>
      <c r="P128" s="77"/>
      <c r="Q128" s="80"/>
    </row>
    <row r="129" spans="9:17" s="55" customFormat="1" ht="15" customHeight="1">
      <c r="I129" s="76"/>
      <c r="J129" s="76"/>
      <c r="K129" s="76"/>
      <c r="L129" s="76"/>
      <c r="M129" s="76"/>
      <c r="N129" s="76"/>
      <c r="O129" s="76"/>
      <c r="P129" s="77"/>
      <c r="Q129" s="80"/>
    </row>
    <row r="130" spans="9:17" s="55" customFormat="1" ht="15" customHeight="1">
      <c r="I130" s="76"/>
      <c r="J130" s="76"/>
      <c r="K130" s="76"/>
      <c r="L130" s="76"/>
      <c r="M130" s="76"/>
      <c r="N130" s="76"/>
      <c r="O130" s="76"/>
      <c r="P130" s="77"/>
      <c r="Q130" s="80"/>
    </row>
    <row r="131" spans="9:17" s="55" customFormat="1" ht="15" customHeight="1">
      <c r="I131" s="76"/>
      <c r="J131" s="76"/>
      <c r="K131" s="76"/>
      <c r="L131" s="76"/>
      <c r="M131" s="76"/>
      <c r="N131" s="76"/>
      <c r="O131" s="76"/>
      <c r="P131" s="77"/>
      <c r="Q131" s="80"/>
    </row>
    <row r="132" spans="9:17" s="55" customFormat="1" ht="15" customHeight="1">
      <c r="I132" s="76"/>
      <c r="J132" s="76"/>
      <c r="K132" s="76"/>
      <c r="L132" s="76"/>
      <c r="M132" s="76"/>
      <c r="N132" s="76"/>
      <c r="O132" s="76"/>
      <c r="P132" s="77"/>
      <c r="Q132" s="80"/>
    </row>
    <row r="133" spans="9:17" s="55" customFormat="1" ht="15" customHeight="1">
      <c r="I133" s="76"/>
      <c r="J133" s="76"/>
      <c r="K133" s="76"/>
      <c r="L133" s="76"/>
      <c r="M133" s="76"/>
      <c r="N133" s="76"/>
      <c r="O133" s="76"/>
      <c r="P133" s="77"/>
      <c r="Q133" s="80"/>
    </row>
    <row r="134" spans="9:17" s="55" customFormat="1" ht="15" customHeight="1">
      <c r="I134" s="76"/>
      <c r="J134" s="76"/>
      <c r="K134" s="76"/>
      <c r="L134" s="76"/>
      <c r="M134" s="76"/>
      <c r="N134" s="76"/>
      <c r="O134" s="76"/>
      <c r="P134" s="77"/>
      <c r="Q134" s="80"/>
    </row>
    <row r="135" spans="9:17" s="55" customFormat="1" ht="15" customHeight="1">
      <c r="I135" s="76"/>
      <c r="J135" s="76"/>
      <c r="K135" s="76"/>
      <c r="L135" s="76"/>
      <c r="M135" s="76"/>
      <c r="N135" s="76"/>
      <c r="O135" s="76"/>
      <c r="P135" s="77"/>
      <c r="Q135" s="80"/>
    </row>
    <row r="136" spans="9:17" s="55" customFormat="1" ht="15" customHeight="1">
      <c r="I136" s="76"/>
      <c r="J136" s="76"/>
      <c r="K136" s="76"/>
      <c r="L136" s="76"/>
      <c r="M136" s="76"/>
      <c r="N136" s="76"/>
      <c r="O136" s="76"/>
      <c r="P136" s="77"/>
      <c r="Q136" s="80"/>
    </row>
    <row r="137" spans="9:17" s="55" customFormat="1" ht="15" customHeight="1">
      <c r="I137" s="76"/>
      <c r="J137" s="76"/>
      <c r="K137" s="76"/>
      <c r="L137" s="76"/>
      <c r="M137" s="76"/>
      <c r="N137" s="76"/>
      <c r="O137" s="76"/>
      <c r="P137" s="77"/>
      <c r="Q137" s="80"/>
    </row>
    <row r="138" spans="9:17" s="55" customFormat="1" ht="15" customHeight="1">
      <c r="I138" s="76"/>
      <c r="J138" s="76"/>
      <c r="K138" s="76"/>
      <c r="L138" s="76"/>
      <c r="M138" s="76"/>
      <c r="N138" s="76"/>
      <c r="O138" s="76"/>
      <c r="P138" s="77"/>
      <c r="Q138" s="80"/>
    </row>
    <row r="139" spans="9:17" s="55" customFormat="1" ht="15" customHeight="1">
      <c r="I139" s="76"/>
      <c r="J139" s="76"/>
      <c r="K139" s="76"/>
      <c r="L139" s="76"/>
      <c r="M139" s="76"/>
      <c r="N139" s="76"/>
      <c r="O139" s="76"/>
      <c r="P139" s="77"/>
      <c r="Q139" s="80"/>
    </row>
    <row r="140" spans="9:17" s="55" customFormat="1" ht="15" customHeight="1">
      <c r="I140" s="76"/>
      <c r="J140" s="76"/>
      <c r="K140" s="76"/>
      <c r="L140" s="76"/>
      <c r="M140" s="76"/>
      <c r="N140" s="76"/>
      <c r="O140" s="76"/>
      <c r="P140" s="77"/>
      <c r="Q140" s="80"/>
    </row>
    <row r="141" spans="9:17" s="55" customFormat="1" ht="15" customHeight="1">
      <c r="I141" s="76"/>
      <c r="J141" s="76"/>
      <c r="K141" s="76"/>
      <c r="L141" s="76"/>
      <c r="M141" s="76"/>
      <c r="N141" s="76"/>
      <c r="O141" s="76"/>
      <c r="P141" s="77"/>
      <c r="Q141" s="80"/>
    </row>
    <row r="142" spans="9:17" s="55" customFormat="1" ht="15" customHeight="1">
      <c r="I142" s="76"/>
      <c r="J142" s="76"/>
      <c r="K142" s="76"/>
      <c r="L142" s="76"/>
      <c r="M142" s="76"/>
      <c r="N142" s="76"/>
      <c r="O142" s="76"/>
      <c r="P142" s="77"/>
      <c r="Q142" s="80"/>
    </row>
    <row r="143" spans="9:17" s="55" customFormat="1" ht="15" customHeight="1">
      <c r="I143" s="76"/>
      <c r="J143" s="76"/>
      <c r="K143" s="76"/>
      <c r="L143" s="76"/>
      <c r="M143" s="76"/>
      <c r="N143" s="76"/>
      <c r="O143" s="76"/>
      <c r="P143" s="77"/>
      <c r="Q143" s="80"/>
    </row>
    <row r="144" spans="9:17" s="55" customFormat="1" ht="15" customHeight="1">
      <c r="I144" s="76"/>
      <c r="J144" s="76"/>
      <c r="K144" s="76"/>
      <c r="L144" s="76"/>
      <c r="M144" s="76"/>
      <c r="N144" s="76"/>
      <c r="O144" s="76"/>
      <c r="P144" s="77"/>
      <c r="Q144" s="80"/>
    </row>
    <row r="145" spans="9:17" s="55" customFormat="1" ht="15" customHeight="1">
      <c r="I145" s="76"/>
      <c r="J145" s="76"/>
      <c r="K145" s="76"/>
      <c r="L145" s="76"/>
      <c r="M145" s="76"/>
      <c r="N145" s="76"/>
      <c r="O145" s="76"/>
      <c r="P145" s="77"/>
      <c r="Q145" s="80"/>
    </row>
    <row r="146" spans="9:17" s="55" customFormat="1" ht="15" customHeight="1">
      <c r="I146" s="76"/>
      <c r="J146" s="76"/>
      <c r="K146" s="76"/>
      <c r="L146" s="76"/>
      <c r="M146" s="76"/>
      <c r="N146" s="76"/>
      <c r="O146" s="76"/>
      <c r="P146" s="77"/>
      <c r="Q146" s="80"/>
    </row>
    <row r="147" spans="9:17" s="55" customFormat="1" ht="15" customHeight="1">
      <c r="I147" s="76"/>
      <c r="J147" s="76"/>
      <c r="K147" s="76"/>
      <c r="L147" s="76"/>
      <c r="M147" s="76"/>
      <c r="N147" s="76"/>
      <c r="O147" s="76"/>
      <c r="P147" s="77"/>
      <c r="Q147" s="80"/>
    </row>
    <row r="148" spans="9:17" s="55" customFormat="1" ht="15" customHeight="1">
      <c r="I148" s="76"/>
      <c r="J148" s="76"/>
      <c r="K148" s="76"/>
      <c r="L148" s="76"/>
      <c r="M148" s="76"/>
      <c r="N148" s="76"/>
      <c r="O148" s="76"/>
      <c r="P148" s="77"/>
      <c r="Q148" s="80"/>
    </row>
    <row r="149" spans="9:17" s="55" customFormat="1" ht="15" customHeight="1">
      <c r="I149" s="76"/>
      <c r="J149" s="76"/>
      <c r="K149" s="76"/>
      <c r="L149" s="76"/>
      <c r="M149" s="76"/>
      <c r="N149" s="76"/>
      <c r="O149" s="76"/>
      <c r="P149" s="77"/>
      <c r="Q149" s="80"/>
    </row>
    <row r="150" spans="9:17" s="55" customFormat="1" ht="15" customHeight="1">
      <c r="I150" s="76"/>
      <c r="J150" s="76"/>
      <c r="K150" s="76"/>
      <c r="L150" s="76"/>
      <c r="M150" s="76"/>
      <c r="N150" s="76"/>
      <c r="O150" s="76"/>
      <c r="P150" s="77"/>
      <c r="Q150" s="80"/>
    </row>
    <row r="151" spans="9:17" s="55" customFormat="1" ht="15" customHeight="1">
      <c r="I151" s="76"/>
      <c r="J151" s="76"/>
      <c r="K151" s="76"/>
      <c r="L151" s="76"/>
      <c r="M151" s="76"/>
      <c r="N151" s="76"/>
      <c r="O151" s="76"/>
      <c r="P151" s="77"/>
      <c r="Q151" s="80"/>
    </row>
    <row r="152" spans="9:17" s="55" customFormat="1" ht="15" customHeight="1">
      <c r="I152" s="76"/>
      <c r="J152" s="76"/>
      <c r="K152" s="76"/>
      <c r="L152" s="76"/>
      <c r="M152" s="76"/>
      <c r="N152" s="76"/>
      <c r="O152" s="76"/>
      <c r="P152" s="77"/>
      <c r="Q152" s="80"/>
    </row>
    <row r="153" spans="9:17" s="55" customFormat="1" ht="15" customHeight="1">
      <c r="I153" s="76"/>
      <c r="J153" s="76"/>
      <c r="K153" s="76"/>
      <c r="L153" s="76"/>
      <c r="M153" s="76"/>
      <c r="N153" s="76"/>
      <c r="O153" s="76"/>
      <c r="P153" s="77"/>
      <c r="Q153" s="80"/>
    </row>
    <row r="154" spans="9:17" s="55" customFormat="1" ht="15" customHeight="1">
      <c r="I154" s="76"/>
      <c r="J154" s="76"/>
      <c r="K154" s="76"/>
      <c r="L154" s="76"/>
      <c r="M154" s="76"/>
      <c r="N154" s="76"/>
      <c r="O154" s="76"/>
      <c r="P154" s="77"/>
      <c r="Q154" s="80"/>
    </row>
    <row r="155" spans="9:17" s="55" customFormat="1" ht="15" customHeight="1">
      <c r="I155" s="76"/>
      <c r="J155" s="76"/>
      <c r="K155" s="76"/>
      <c r="L155" s="76"/>
      <c r="M155" s="76"/>
      <c r="N155" s="76"/>
      <c r="O155" s="76"/>
      <c r="P155" s="77"/>
      <c r="Q155" s="80"/>
    </row>
    <row r="156" spans="9:17" s="55" customFormat="1" ht="15" customHeight="1">
      <c r="I156" s="76"/>
      <c r="J156" s="76"/>
      <c r="K156" s="76"/>
      <c r="L156" s="76"/>
      <c r="M156" s="76"/>
      <c r="N156" s="76"/>
      <c r="O156" s="76"/>
      <c r="P156" s="77"/>
      <c r="Q156" s="80"/>
    </row>
    <row r="157" spans="9:17" s="55" customFormat="1" ht="15" customHeight="1">
      <c r="I157" s="76"/>
      <c r="J157" s="76"/>
      <c r="K157" s="76"/>
      <c r="L157" s="76"/>
      <c r="M157" s="76"/>
      <c r="N157" s="76"/>
      <c r="O157" s="76"/>
      <c r="P157" s="77"/>
      <c r="Q157" s="80"/>
    </row>
    <row r="158" spans="9:17" s="55" customFormat="1" ht="15" customHeight="1">
      <c r="I158" s="76"/>
      <c r="J158" s="76"/>
      <c r="K158" s="76"/>
      <c r="L158" s="76"/>
      <c r="M158" s="76"/>
      <c r="N158" s="76"/>
      <c r="O158" s="76"/>
      <c r="P158" s="77"/>
      <c r="Q158" s="80"/>
    </row>
    <row r="159" spans="9:17" s="55" customFormat="1" ht="15" customHeight="1">
      <c r="I159" s="76"/>
      <c r="J159" s="76"/>
      <c r="K159" s="76"/>
      <c r="L159" s="76"/>
      <c r="M159" s="76"/>
      <c r="N159" s="76"/>
      <c r="O159" s="76"/>
      <c r="P159" s="77"/>
      <c r="Q159" s="80"/>
    </row>
    <row r="160" spans="9:17" s="55" customFormat="1" ht="15" customHeight="1">
      <c r="I160" s="76"/>
      <c r="J160" s="76"/>
      <c r="K160" s="76"/>
      <c r="L160" s="76"/>
      <c r="M160" s="76"/>
      <c r="N160" s="76"/>
      <c r="O160" s="76"/>
      <c r="P160" s="77"/>
      <c r="Q160" s="80"/>
    </row>
    <row r="161" spans="9:17" s="55" customFormat="1" ht="15" customHeight="1">
      <c r="I161" s="76"/>
      <c r="J161" s="76"/>
      <c r="K161" s="76"/>
      <c r="L161" s="76"/>
      <c r="M161" s="76"/>
      <c r="N161" s="76"/>
      <c r="O161" s="76"/>
      <c r="P161" s="77"/>
      <c r="Q161" s="80"/>
    </row>
    <row r="162" spans="9:17" s="55" customFormat="1" ht="15" customHeight="1">
      <c r="I162" s="76"/>
      <c r="J162" s="76"/>
      <c r="K162" s="76"/>
      <c r="L162" s="76"/>
      <c r="M162" s="76"/>
      <c r="N162" s="76"/>
      <c r="O162" s="76"/>
      <c r="P162" s="77"/>
      <c r="Q162" s="80"/>
    </row>
    <row r="163" spans="9:17" s="55" customFormat="1" ht="15" customHeight="1">
      <c r="I163" s="76"/>
      <c r="J163" s="76"/>
      <c r="K163" s="76"/>
      <c r="L163" s="76"/>
      <c r="M163" s="76"/>
      <c r="N163" s="76"/>
      <c r="O163" s="76"/>
      <c r="P163" s="77"/>
      <c r="Q163" s="80"/>
    </row>
    <row r="164" spans="9:17" s="55" customFormat="1" ht="15" customHeight="1">
      <c r="I164" s="76"/>
      <c r="J164" s="76"/>
      <c r="K164" s="76"/>
      <c r="L164" s="76"/>
      <c r="M164" s="76"/>
      <c r="N164" s="76"/>
      <c r="O164" s="76"/>
      <c r="P164" s="77"/>
      <c r="Q164" s="80"/>
    </row>
    <row r="165" spans="9:17" s="55" customFormat="1" ht="15" customHeight="1">
      <c r="I165" s="76"/>
      <c r="J165" s="76"/>
      <c r="K165" s="76"/>
      <c r="L165" s="76"/>
      <c r="M165" s="76"/>
      <c r="N165" s="76"/>
      <c r="O165" s="76"/>
      <c r="P165" s="77"/>
      <c r="Q165" s="80"/>
    </row>
    <row r="166" spans="9:17" s="55" customFormat="1" ht="15" customHeight="1">
      <c r="I166" s="76"/>
      <c r="J166" s="76"/>
      <c r="K166" s="76"/>
      <c r="L166" s="76"/>
      <c r="M166" s="76"/>
      <c r="N166" s="76"/>
      <c r="O166" s="76"/>
      <c r="P166" s="77"/>
      <c r="Q166" s="80"/>
    </row>
    <row r="167" spans="9:17" s="55" customFormat="1" ht="15" customHeight="1">
      <c r="I167" s="76"/>
      <c r="J167" s="76"/>
      <c r="K167" s="76"/>
      <c r="L167" s="76"/>
      <c r="M167" s="76"/>
      <c r="N167" s="76"/>
      <c r="O167" s="76"/>
      <c r="P167" s="77"/>
      <c r="Q167" s="80"/>
    </row>
    <row r="168" spans="9:17" s="55" customFormat="1" ht="15" customHeight="1">
      <c r="I168" s="76"/>
      <c r="J168" s="76"/>
      <c r="K168" s="76"/>
      <c r="L168" s="76"/>
      <c r="M168" s="76"/>
      <c r="N168" s="76"/>
      <c r="O168" s="76"/>
      <c r="P168" s="77"/>
      <c r="Q168" s="80"/>
    </row>
    <row r="169" spans="9:17" s="55" customFormat="1" ht="15" customHeight="1">
      <c r="I169" s="76"/>
      <c r="J169" s="76"/>
      <c r="K169" s="76"/>
      <c r="L169" s="76"/>
      <c r="M169" s="76"/>
      <c r="N169" s="76"/>
      <c r="O169" s="76"/>
      <c r="P169" s="77"/>
      <c r="Q169" s="80"/>
    </row>
    <row r="170" spans="9:17" s="55" customFormat="1" ht="15" customHeight="1">
      <c r="I170" s="76"/>
      <c r="J170" s="76"/>
      <c r="K170" s="76"/>
      <c r="L170" s="76"/>
      <c r="M170" s="76"/>
      <c r="N170" s="76"/>
      <c r="O170" s="76"/>
      <c r="P170" s="77"/>
      <c r="Q170" s="80"/>
    </row>
    <row r="171" spans="9:17" s="55" customFormat="1" ht="15" customHeight="1">
      <c r="I171" s="76"/>
      <c r="J171" s="76"/>
      <c r="K171" s="76"/>
      <c r="L171" s="76"/>
      <c r="M171" s="76"/>
      <c r="N171" s="76"/>
      <c r="O171" s="76"/>
      <c r="P171" s="77"/>
      <c r="Q171" s="80"/>
    </row>
    <row r="172" spans="9:17" s="55" customFormat="1" ht="15" customHeight="1">
      <c r="I172" s="76"/>
      <c r="J172" s="76"/>
      <c r="K172" s="76"/>
      <c r="L172" s="76"/>
      <c r="M172" s="76"/>
      <c r="N172" s="76"/>
      <c r="O172" s="76"/>
      <c r="P172" s="77"/>
      <c r="Q172" s="80"/>
    </row>
    <row r="173" spans="9:17" s="55" customFormat="1" ht="15" customHeight="1">
      <c r="I173" s="76"/>
      <c r="J173" s="76"/>
      <c r="K173" s="76"/>
      <c r="L173" s="76"/>
      <c r="M173" s="76"/>
      <c r="N173" s="76"/>
      <c r="O173" s="76"/>
      <c r="P173" s="77"/>
      <c r="Q173" s="80"/>
    </row>
    <row r="174" spans="9:17" s="55" customFormat="1" ht="15" customHeight="1">
      <c r="I174" s="76"/>
      <c r="J174" s="76"/>
      <c r="K174" s="76"/>
      <c r="L174" s="76"/>
      <c r="M174" s="76"/>
      <c r="N174" s="76"/>
      <c r="O174" s="76"/>
      <c r="P174" s="77"/>
      <c r="Q174" s="80"/>
    </row>
    <row r="175" spans="9:17" s="55" customFormat="1" ht="15" customHeight="1">
      <c r="I175" s="76"/>
      <c r="J175" s="76"/>
      <c r="K175" s="76"/>
      <c r="L175" s="76"/>
      <c r="M175" s="76"/>
      <c r="N175" s="76"/>
      <c r="O175" s="76"/>
      <c r="P175" s="77"/>
      <c r="Q175" s="80"/>
    </row>
    <row r="176" spans="9:17" s="55" customFormat="1" ht="15" customHeight="1">
      <c r="I176" s="76"/>
      <c r="J176" s="76"/>
      <c r="K176" s="76"/>
      <c r="L176" s="76"/>
      <c r="M176" s="76"/>
      <c r="N176" s="76"/>
      <c r="O176" s="76"/>
      <c r="P176" s="77"/>
      <c r="Q176" s="80"/>
    </row>
    <row r="177" spans="9:17" s="55" customFormat="1" ht="15" customHeight="1">
      <c r="I177" s="76"/>
      <c r="J177" s="76"/>
      <c r="K177" s="76"/>
      <c r="L177" s="76"/>
      <c r="M177" s="76"/>
      <c r="N177" s="76"/>
      <c r="O177" s="76"/>
      <c r="P177" s="77"/>
      <c r="Q177" s="80"/>
    </row>
    <row r="178" spans="9:17" s="55" customFormat="1" ht="15" customHeight="1">
      <c r="I178" s="76"/>
      <c r="J178" s="76"/>
      <c r="K178" s="76"/>
      <c r="L178" s="76"/>
      <c r="M178" s="76"/>
      <c r="N178" s="76"/>
      <c r="O178" s="76"/>
      <c r="P178" s="77"/>
      <c r="Q178" s="80"/>
    </row>
    <row r="179" spans="9:17" s="55" customFormat="1" ht="15" customHeight="1">
      <c r="I179" s="76"/>
      <c r="J179" s="76"/>
      <c r="K179" s="76"/>
      <c r="L179" s="76"/>
      <c r="M179" s="76"/>
      <c r="N179" s="76"/>
      <c r="O179" s="76"/>
      <c r="P179" s="77"/>
      <c r="Q179" s="80"/>
    </row>
    <row r="180" spans="9:17" s="55" customFormat="1" ht="15" customHeight="1">
      <c r="I180" s="76"/>
      <c r="J180" s="76"/>
      <c r="K180" s="76"/>
      <c r="L180" s="76"/>
      <c r="M180" s="76"/>
      <c r="N180" s="76"/>
      <c r="O180" s="76"/>
      <c r="P180" s="77"/>
      <c r="Q180" s="80"/>
    </row>
    <row r="181" spans="9:17" s="55" customFormat="1" ht="15" customHeight="1">
      <c r="I181" s="76"/>
      <c r="J181" s="76"/>
      <c r="K181" s="76"/>
      <c r="L181" s="76"/>
      <c r="M181" s="76"/>
      <c r="N181" s="76"/>
      <c r="O181" s="76"/>
      <c r="P181" s="77"/>
      <c r="Q181" s="80"/>
    </row>
    <row r="182" spans="9:17" s="55" customFormat="1" ht="15" customHeight="1">
      <c r="I182" s="76"/>
      <c r="J182" s="76"/>
      <c r="K182" s="76"/>
      <c r="L182" s="76"/>
      <c r="M182" s="76"/>
      <c r="N182" s="76"/>
      <c r="O182" s="76"/>
      <c r="P182" s="77"/>
      <c r="Q182" s="80"/>
    </row>
    <row r="183" spans="9:17" s="55" customFormat="1" ht="15" customHeight="1">
      <c r="I183" s="76"/>
      <c r="J183" s="76"/>
      <c r="K183" s="76"/>
      <c r="L183" s="76"/>
      <c r="M183" s="76"/>
      <c r="N183" s="76"/>
      <c r="O183" s="76"/>
      <c r="P183" s="77"/>
      <c r="Q183" s="80"/>
    </row>
    <row r="184" spans="9:17" s="55" customFormat="1" ht="15" customHeight="1">
      <c r="I184" s="76"/>
      <c r="J184" s="76"/>
      <c r="K184" s="76"/>
      <c r="L184" s="76"/>
      <c r="M184" s="76"/>
      <c r="N184" s="76"/>
      <c r="O184" s="76"/>
      <c r="P184" s="77"/>
      <c r="Q184" s="80"/>
    </row>
    <row r="185" spans="9:17" s="55" customFormat="1" ht="15" customHeight="1">
      <c r="I185" s="76"/>
      <c r="J185" s="76"/>
      <c r="K185" s="76"/>
      <c r="L185" s="76"/>
      <c r="M185" s="76"/>
      <c r="N185" s="76"/>
      <c r="O185" s="76"/>
      <c r="P185" s="77"/>
      <c r="Q185" s="80"/>
    </row>
    <row r="186" spans="9:17" s="55" customFormat="1" ht="15" customHeight="1">
      <c r="I186" s="76"/>
      <c r="J186" s="76"/>
      <c r="K186" s="76"/>
      <c r="L186" s="76"/>
      <c r="M186" s="76"/>
      <c r="N186" s="76"/>
      <c r="O186" s="76"/>
      <c r="P186" s="77"/>
      <c r="Q186" s="80"/>
    </row>
    <row r="187" spans="9:17" s="55" customFormat="1" ht="15" customHeight="1">
      <c r="I187" s="76"/>
      <c r="J187" s="76"/>
      <c r="K187" s="76"/>
      <c r="L187" s="76"/>
      <c r="M187" s="76"/>
      <c r="N187" s="76"/>
      <c r="O187" s="76"/>
      <c r="P187" s="77"/>
      <c r="Q187" s="80"/>
    </row>
    <row r="188" spans="9:17" s="55" customFormat="1" ht="15" customHeight="1">
      <c r="I188" s="76"/>
      <c r="J188" s="76"/>
      <c r="K188" s="76"/>
      <c r="L188" s="76"/>
      <c r="M188" s="76"/>
      <c r="N188" s="76"/>
      <c r="O188" s="76"/>
      <c r="P188" s="77"/>
      <c r="Q188" s="80"/>
    </row>
    <row r="189" spans="9:17" s="55" customFormat="1" ht="15" customHeight="1">
      <c r="I189" s="76"/>
      <c r="J189" s="76"/>
      <c r="K189" s="76"/>
      <c r="L189" s="76"/>
      <c r="M189" s="76"/>
      <c r="N189" s="76"/>
      <c r="O189" s="76"/>
      <c r="P189" s="77"/>
      <c r="Q189" s="80"/>
    </row>
    <row r="190" spans="9:17" s="55" customFormat="1" ht="15" customHeight="1">
      <c r="I190" s="76"/>
      <c r="J190" s="76"/>
      <c r="K190" s="76"/>
      <c r="L190" s="76"/>
      <c r="M190" s="76"/>
      <c r="N190" s="76"/>
      <c r="O190" s="76"/>
      <c r="P190" s="77"/>
      <c r="Q190" s="80"/>
    </row>
    <row r="191" spans="9:17" s="55" customFormat="1" ht="15" customHeight="1">
      <c r="I191" s="76"/>
      <c r="J191" s="76"/>
      <c r="K191" s="76"/>
      <c r="L191" s="76"/>
      <c r="M191" s="76"/>
      <c r="N191" s="76"/>
      <c r="O191" s="76"/>
      <c r="P191" s="77"/>
      <c r="Q191" s="80"/>
    </row>
    <row r="192" spans="9:17" s="55" customFormat="1" ht="15" customHeight="1">
      <c r="I192" s="76"/>
      <c r="J192" s="76"/>
      <c r="K192" s="76"/>
      <c r="L192" s="76"/>
      <c r="M192" s="76"/>
      <c r="N192" s="76"/>
      <c r="O192" s="76"/>
      <c r="P192" s="77"/>
      <c r="Q192" s="80"/>
    </row>
    <row r="193" spans="9:17" s="55" customFormat="1" ht="15" customHeight="1">
      <c r="I193" s="76"/>
      <c r="J193" s="76"/>
      <c r="K193" s="76"/>
      <c r="L193" s="76"/>
      <c r="M193" s="76"/>
      <c r="N193" s="76"/>
      <c r="O193" s="76"/>
      <c r="P193" s="77"/>
      <c r="Q193" s="80"/>
    </row>
    <row r="194" spans="9:17" s="55" customFormat="1" ht="15" customHeight="1">
      <c r="I194" s="76"/>
      <c r="J194" s="76"/>
      <c r="K194" s="76"/>
      <c r="L194" s="76"/>
      <c r="M194" s="76"/>
      <c r="N194" s="76"/>
      <c r="O194" s="76"/>
      <c r="P194" s="77"/>
      <c r="Q194" s="80"/>
    </row>
    <row r="195" spans="9:17" s="55" customFormat="1" ht="15" customHeight="1">
      <c r="I195" s="76"/>
      <c r="J195" s="76"/>
      <c r="K195" s="76"/>
      <c r="L195" s="76"/>
      <c r="M195" s="76"/>
      <c r="N195" s="76"/>
      <c r="O195" s="76"/>
      <c r="P195" s="77"/>
      <c r="Q195" s="80"/>
    </row>
    <row r="196" spans="9:17" s="55" customFormat="1" ht="15" customHeight="1">
      <c r="I196" s="76"/>
      <c r="J196" s="76"/>
      <c r="K196" s="76"/>
      <c r="L196" s="76"/>
      <c r="M196" s="76"/>
      <c r="N196" s="76"/>
      <c r="O196" s="76"/>
      <c r="P196" s="77"/>
      <c r="Q196" s="80"/>
    </row>
    <row r="197" spans="9:17" s="55" customFormat="1" ht="15" customHeight="1">
      <c r="I197" s="76"/>
      <c r="J197" s="76"/>
      <c r="K197" s="76"/>
      <c r="L197" s="76"/>
      <c r="M197" s="76"/>
      <c r="N197" s="76"/>
      <c r="O197" s="76"/>
      <c r="P197" s="77"/>
      <c r="Q197" s="80"/>
    </row>
    <row r="198" spans="9:17" s="55" customFormat="1" ht="15" customHeight="1">
      <c r="I198" s="76"/>
      <c r="J198" s="76"/>
      <c r="K198" s="76"/>
      <c r="L198" s="76"/>
      <c r="M198" s="76"/>
      <c r="N198" s="76"/>
      <c r="O198" s="76"/>
      <c r="P198" s="77"/>
      <c r="Q198" s="80"/>
    </row>
    <row r="199" spans="9:17" s="55" customFormat="1" ht="15" customHeight="1">
      <c r="I199" s="76"/>
      <c r="J199" s="76"/>
      <c r="K199" s="76"/>
      <c r="L199" s="76"/>
      <c r="M199" s="76"/>
      <c r="N199" s="76"/>
      <c r="O199" s="76"/>
      <c r="P199" s="77"/>
      <c r="Q199" s="80"/>
    </row>
    <row r="200" spans="9:17" s="55" customFormat="1" ht="15" customHeight="1">
      <c r="I200" s="76"/>
      <c r="J200" s="76"/>
      <c r="K200" s="76"/>
      <c r="L200" s="76"/>
      <c r="M200" s="76"/>
      <c r="N200" s="76"/>
      <c r="O200" s="76"/>
      <c r="P200" s="77"/>
      <c r="Q200" s="80"/>
    </row>
    <row r="201" spans="9:17" s="55" customFormat="1" ht="15" customHeight="1">
      <c r="I201" s="76"/>
      <c r="J201" s="76"/>
      <c r="K201" s="76"/>
      <c r="L201" s="76"/>
      <c r="M201" s="76"/>
      <c r="N201" s="76"/>
      <c r="O201" s="76"/>
      <c r="P201" s="77"/>
      <c r="Q201" s="80"/>
    </row>
    <row r="202" spans="9:17" s="55" customFormat="1" ht="15" customHeight="1">
      <c r="I202" s="76"/>
      <c r="J202" s="76"/>
      <c r="K202" s="76"/>
      <c r="L202" s="76"/>
      <c r="M202" s="76"/>
      <c r="N202" s="76"/>
      <c r="O202" s="76"/>
      <c r="P202" s="77"/>
      <c r="Q202" s="80"/>
    </row>
    <row r="203" spans="9:17" s="55" customFormat="1" ht="15" customHeight="1">
      <c r="I203" s="76"/>
      <c r="J203" s="76"/>
      <c r="K203" s="76"/>
      <c r="L203" s="76"/>
      <c r="M203" s="76"/>
      <c r="N203" s="76"/>
      <c r="O203" s="76"/>
      <c r="P203" s="77"/>
      <c r="Q203" s="80"/>
    </row>
    <row r="204" spans="9:17" s="55" customFormat="1" ht="15" customHeight="1">
      <c r="I204" s="76"/>
      <c r="J204" s="76"/>
      <c r="K204" s="76"/>
      <c r="L204" s="76"/>
      <c r="M204" s="76"/>
      <c r="N204" s="76"/>
      <c r="O204" s="76"/>
      <c r="P204" s="77"/>
      <c r="Q204" s="80"/>
    </row>
    <row r="205" spans="9:17" s="55" customFormat="1" ht="15" customHeight="1">
      <c r="I205" s="76"/>
      <c r="J205" s="76"/>
      <c r="K205" s="76"/>
      <c r="L205" s="76"/>
      <c r="M205" s="76"/>
      <c r="N205" s="76"/>
      <c r="O205" s="76"/>
      <c r="P205" s="77"/>
      <c r="Q205" s="80"/>
    </row>
    <row r="206" spans="9:17" s="55" customFormat="1" ht="15" customHeight="1">
      <c r="I206" s="76"/>
      <c r="J206" s="76"/>
      <c r="K206" s="76"/>
      <c r="L206" s="76"/>
      <c r="M206" s="76"/>
      <c r="N206" s="76"/>
      <c r="O206" s="76"/>
      <c r="P206" s="77"/>
      <c r="Q206" s="80"/>
    </row>
    <row r="207" spans="9:17" s="55" customFormat="1" ht="15" customHeight="1">
      <c r="I207" s="76"/>
      <c r="J207" s="76"/>
      <c r="K207" s="76"/>
      <c r="L207" s="76"/>
      <c r="M207" s="76"/>
      <c r="N207" s="76"/>
      <c r="O207" s="76"/>
      <c r="P207" s="77"/>
      <c r="Q207" s="80"/>
    </row>
    <row r="208" spans="9:17" s="55" customFormat="1" ht="15" customHeight="1">
      <c r="I208" s="76"/>
      <c r="J208" s="76"/>
      <c r="K208" s="76"/>
      <c r="L208" s="76"/>
      <c r="M208" s="76"/>
      <c r="N208" s="76"/>
      <c r="O208" s="76"/>
      <c r="P208" s="77"/>
      <c r="Q208" s="80"/>
    </row>
    <row r="209" spans="9:17" s="55" customFormat="1" ht="15" customHeight="1">
      <c r="I209" s="76"/>
      <c r="J209" s="76"/>
      <c r="K209" s="76"/>
      <c r="L209" s="76"/>
      <c r="M209" s="76"/>
      <c r="N209" s="76"/>
      <c r="O209" s="76"/>
      <c r="P209" s="77"/>
      <c r="Q209" s="80"/>
    </row>
    <row r="210" spans="9:17" s="55" customFormat="1" ht="15" customHeight="1">
      <c r="I210" s="76"/>
      <c r="J210" s="76"/>
      <c r="K210" s="76"/>
      <c r="L210" s="76"/>
      <c r="M210" s="76"/>
      <c r="N210" s="76"/>
      <c r="O210" s="76"/>
      <c r="P210" s="77"/>
      <c r="Q210" s="80"/>
    </row>
    <row r="211" spans="9:17" s="55" customFormat="1" ht="15" customHeight="1">
      <c r="I211" s="76"/>
      <c r="J211" s="76"/>
      <c r="K211" s="76"/>
      <c r="L211" s="76"/>
      <c r="M211" s="76"/>
      <c r="N211" s="76"/>
      <c r="O211" s="76"/>
      <c r="P211" s="77"/>
      <c r="Q211" s="80"/>
    </row>
    <row r="212" spans="9:17" s="55" customFormat="1" ht="15" customHeight="1">
      <c r="I212" s="76"/>
      <c r="J212" s="76"/>
      <c r="K212" s="76"/>
      <c r="L212" s="76"/>
      <c r="M212" s="76"/>
      <c r="N212" s="76"/>
      <c r="O212" s="76"/>
      <c r="P212" s="77"/>
      <c r="Q212" s="80"/>
    </row>
    <row r="213" spans="9:17" s="55" customFormat="1" ht="15" customHeight="1">
      <c r="I213" s="76"/>
      <c r="J213" s="76"/>
      <c r="K213" s="76"/>
      <c r="L213" s="76"/>
      <c r="M213" s="76"/>
      <c r="N213" s="76"/>
      <c r="O213" s="76"/>
      <c r="P213" s="77"/>
      <c r="Q213" s="80"/>
    </row>
    <row r="214" spans="9:17" s="55" customFormat="1" ht="15" customHeight="1">
      <c r="I214" s="76"/>
      <c r="J214" s="76"/>
      <c r="K214" s="76"/>
      <c r="L214" s="76"/>
      <c r="M214" s="76"/>
      <c r="N214" s="76"/>
      <c r="O214" s="76"/>
      <c r="P214" s="77"/>
      <c r="Q214" s="80"/>
    </row>
    <row r="215" spans="9:17" s="55" customFormat="1" ht="15" customHeight="1">
      <c r="I215" s="76"/>
      <c r="J215" s="76"/>
      <c r="K215" s="76"/>
      <c r="L215" s="76"/>
      <c r="M215" s="76"/>
      <c r="N215" s="76"/>
      <c r="O215" s="76"/>
      <c r="P215" s="77"/>
      <c r="Q215" s="80"/>
    </row>
    <row r="216" spans="9:17" s="55" customFormat="1" ht="15" customHeight="1">
      <c r="I216" s="76"/>
      <c r="J216" s="76"/>
      <c r="K216" s="76"/>
      <c r="L216" s="76"/>
      <c r="M216" s="76"/>
      <c r="N216" s="76"/>
      <c r="O216" s="76"/>
      <c r="P216" s="77"/>
      <c r="Q216" s="80"/>
    </row>
    <row r="217" spans="9:17" s="55" customFormat="1" ht="15" customHeight="1">
      <c r="I217" s="76"/>
      <c r="J217" s="76"/>
      <c r="K217" s="76"/>
      <c r="L217" s="76"/>
      <c r="M217" s="76"/>
      <c r="N217" s="76"/>
      <c r="O217" s="76"/>
      <c r="P217" s="77"/>
      <c r="Q217" s="80"/>
    </row>
    <row r="218" spans="9:17" s="55" customFormat="1" ht="15" customHeight="1">
      <c r="I218" s="76"/>
      <c r="J218" s="76"/>
      <c r="K218" s="76"/>
      <c r="L218" s="76"/>
      <c r="M218" s="76"/>
      <c r="N218" s="76"/>
      <c r="O218" s="76"/>
      <c r="P218" s="77"/>
      <c r="Q218" s="80"/>
    </row>
    <row r="219" spans="9:17" s="55" customFormat="1" ht="15" customHeight="1">
      <c r="I219" s="76"/>
      <c r="J219" s="76"/>
      <c r="K219" s="76"/>
      <c r="L219" s="76"/>
      <c r="M219" s="76"/>
      <c r="N219" s="76"/>
      <c r="O219" s="76"/>
      <c r="P219" s="77"/>
      <c r="Q219" s="80"/>
    </row>
    <row r="220" spans="9:17" s="55" customFormat="1" ht="15" customHeight="1">
      <c r="I220" s="76"/>
      <c r="J220" s="76"/>
      <c r="K220" s="76"/>
      <c r="L220" s="76"/>
      <c r="M220" s="76"/>
      <c r="N220" s="76"/>
      <c r="O220" s="76"/>
      <c r="P220" s="77"/>
      <c r="Q220" s="80"/>
    </row>
    <row r="221" spans="9:17" s="55" customFormat="1" ht="15" customHeight="1">
      <c r="I221" s="76"/>
      <c r="J221" s="76"/>
      <c r="K221" s="76"/>
      <c r="L221" s="76"/>
      <c r="M221" s="76"/>
      <c r="N221" s="76"/>
      <c r="O221" s="76"/>
      <c r="P221" s="77"/>
      <c r="Q221" s="80"/>
    </row>
    <row r="222" spans="9:17" s="55" customFormat="1" ht="15" customHeight="1">
      <c r="I222" s="76"/>
      <c r="J222" s="76"/>
      <c r="K222" s="76"/>
      <c r="L222" s="76"/>
      <c r="M222" s="76"/>
      <c r="N222" s="76"/>
      <c r="O222" s="76"/>
      <c r="P222" s="77"/>
      <c r="Q222" s="80"/>
    </row>
    <row r="223" spans="9:17" s="55" customFormat="1" ht="15" customHeight="1">
      <c r="I223" s="76"/>
      <c r="J223" s="76"/>
      <c r="K223" s="76"/>
      <c r="L223" s="76"/>
      <c r="M223" s="76"/>
      <c r="N223" s="76"/>
      <c r="O223" s="76"/>
      <c r="P223" s="77"/>
      <c r="Q223" s="80"/>
    </row>
    <row r="224" spans="9:17" s="55" customFormat="1" ht="15" customHeight="1">
      <c r="I224" s="76"/>
      <c r="J224" s="76"/>
      <c r="K224" s="76"/>
      <c r="L224" s="76"/>
      <c r="M224" s="76"/>
      <c r="N224" s="76"/>
      <c r="O224" s="76"/>
      <c r="P224" s="77"/>
      <c r="Q224" s="80"/>
    </row>
    <row r="225" spans="9:17" s="55" customFormat="1" ht="15" customHeight="1">
      <c r="I225" s="76"/>
      <c r="J225" s="76"/>
      <c r="K225" s="76"/>
      <c r="L225" s="76"/>
      <c r="M225" s="76"/>
      <c r="N225" s="76"/>
      <c r="O225" s="76"/>
      <c r="P225" s="77"/>
      <c r="Q225" s="80"/>
    </row>
    <row r="226" spans="9:17" s="55" customFormat="1" ht="15" customHeight="1">
      <c r="I226" s="76"/>
      <c r="J226" s="76"/>
      <c r="K226" s="76"/>
      <c r="L226" s="76"/>
      <c r="M226" s="76"/>
      <c r="N226" s="76"/>
      <c r="O226" s="76"/>
      <c r="P226" s="77"/>
      <c r="Q226" s="80"/>
    </row>
    <row r="227" spans="9:17" s="55" customFormat="1" ht="15" customHeight="1">
      <c r="I227" s="76"/>
      <c r="J227" s="76"/>
      <c r="K227" s="76"/>
      <c r="L227" s="76"/>
      <c r="M227" s="76"/>
      <c r="N227" s="76"/>
      <c r="O227" s="76"/>
      <c r="P227" s="77"/>
      <c r="Q227" s="80"/>
    </row>
    <row r="228" spans="9:17" s="55" customFormat="1" ht="15" customHeight="1">
      <c r="I228" s="76"/>
      <c r="J228" s="76"/>
      <c r="K228" s="76"/>
      <c r="L228" s="76"/>
      <c r="M228" s="76"/>
      <c r="N228" s="76"/>
      <c r="O228" s="76"/>
      <c r="P228" s="77"/>
      <c r="Q228" s="80"/>
    </row>
    <row r="229" spans="9:17" s="55" customFormat="1" ht="15" customHeight="1">
      <c r="I229" s="76"/>
      <c r="J229" s="76"/>
      <c r="K229" s="76"/>
      <c r="L229" s="76"/>
      <c r="M229" s="76"/>
      <c r="N229" s="76"/>
      <c r="O229" s="76"/>
      <c r="P229" s="77"/>
      <c r="Q229" s="80"/>
    </row>
    <row r="230" spans="9:17" s="55" customFormat="1" ht="15" customHeight="1">
      <c r="I230" s="76"/>
      <c r="J230" s="76"/>
      <c r="K230" s="76"/>
      <c r="L230" s="76"/>
      <c r="M230" s="76"/>
      <c r="N230" s="76"/>
      <c r="O230" s="76"/>
      <c r="P230" s="77"/>
      <c r="Q230" s="80"/>
    </row>
    <row r="231" spans="9:17" s="55" customFormat="1" ht="15" customHeight="1">
      <c r="I231" s="76"/>
      <c r="J231" s="76"/>
      <c r="K231" s="76"/>
      <c r="L231" s="76"/>
      <c r="M231" s="76"/>
      <c r="N231" s="76"/>
      <c r="O231" s="76"/>
      <c r="P231" s="77"/>
      <c r="Q231" s="80"/>
    </row>
    <row r="232" spans="9:17" s="55" customFormat="1" ht="15" customHeight="1">
      <c r="I232" s="76"/>
      <c r="J232" s="76"/>
      <c r="K232" s="76"/>
      <c r="L232" s="76"/>
      <c r="M232" s="76"/>
      <c r="N232" s="76"/>
      <c r="O232" s="76"/>
      <c r="P232" s="77"/>
      <c r="Q232" s="80"/>
    </row>
    <row r="233" spans="9:17" s="55" customFormat="1" ht="15" customHeight="1">
      <c r="I233" s="76"/>
      <c r="J233" s="76"/>
      <c r="K233" s="76"/>
      <c r="L233" s="76"/>
      <c r="M233" s="76"/>
      <c r="N233" s="76"/>
      <c r="O233" s="76"/>
      <c r="P233" s="77"/>
      <c r="Q233" s="80"/>
    </row>
    <row r="234" spans="9:17" s="55" customFormat="1" ht="15" customHeight="1">
      <c r="I234" s="76"/>
      <c r="J234" s="76"/>
      <c r="K234" s="76"/>
      <c r="L234" s="76"/>
      <c r="M234" s="76"/>
      <c r="N234" s="76"/>
      <c r="O234" s="76"/>
      <c r="P234" s="77"/>
      <c r="Q234" s="80"/>
    </row>
    <row r="235" spans="9:17" s="55" customFormat="1" ht="15" customHeight="1">
      <c r="I235" s="76"/>
      <c r="J235" s="76"/>
      <c r="K235" s="76"/>
      <c r="L235" s="76"/>
      <c r="M235" s="76"/>
      <c r="N235" s="76"/>
      <c r="O235" s="76"/>
      <c r="P235" s="77"/>
      <c r="Q235" s="80"/>
    </row>
    <row r="236" spans="9:17" s="55" customFormat="1" ht="15" customHeight="1">
      <c r="I236" s="76"/>
      <c r="J236" s="76"/>
      <c r="K236" s="76"/>
      <c r="L236" s="76"/>
      <c r="M236" s="76"/>
      <c r="N236" s="76"/>
      <c r="O236" s="76"/>
      <c r="P236" s="77"/>
      <c r="Q236" s="80"/>
    </row>
    <row r="237" spans="9:17" s="55" customFormat="1" ht="15" customHeight="1">
      <c r="I237" s="76"/>
      <c r="J237" s="76"/>
      <c r="K237" s="76"/>
      <c r="L237" s="76"/>
      <c r="M237" s="76"/>
      <c r="N237" s="76"/>
      <c r="O237" s="76"/>
      <c r="P237" s="77"/>
      <c r="Q237" s="80"/>
    </row>
    <row r="238" spans="9:17" s="55" customFormat="1" ht="15" customHeight="1">
      <c r="I238" s="76"/>
      <c r="J238" s="76"/>
      <c r="K238" s="76"/>
      <c r="L238" s="76"/>
      <c r="M238" s="76"/>
      <c r="N238" s="76"/>
      <c r="O238" s="76"/>
      <c r="P238" s="77"/>
      <c r="Q238" s="80"/>
    </row>
    <row r="239" spans="9:17" s="55" customFormat="1" ht="15" customHeight="1">
      <c r="I239" s="76"/>
      <c r="J239" s="76"/>
      <c r="K239" s="76"/>
      <c r="L239" s="76"/>
      <c r="M239" s="76"/>
      <c r="N239" s="76"/>
      <c r="O239" s="76"/>
      <c r="P239" s="77"/>
      <c r="Q239" s="80"/>
    </row>
    <row r="240" spans="9:17" s="55" customFormat="1" ht="15" customHeight="1">
      <c r="I240" s="76"/>
      <c r="J240" s="76"/>
      <c r="K240" s="76"/>
      <c r="L240" s="76"/>
      <c r="M240" s="76"/>
      <c r="N240" s="76"/>
      <c r="O240" s="76"/>
      <c r="P240" s="77"/>
      <c r="Q240" s="80"/>
    </row>
    <row r="241" spans="9:17" s="55" customFormat="1" ht="15" customHeight="1">
      <c r="I241" s="76"/>
      <c r="J241" s="76"/>
      <c r="K241" s="76"/>
      <c r="L241" s="76"/>
      <c r="M241" s="76"/>
      <c r="N241" s="76"/>
      <c r="O241" s="76"/>
      <c r="P241" s="77"/>
      <c r="Q241" s="80"/>
    </row>
    <row r="242" spans="9:17" s="55" customFormat="1" ht="15" customHeight="1">
      <c r="I242" s="76"/>
      <c r="J242" s="76"/>
      <c r="K242" s="76"/>
      <c r="L242" s="76"/>
      <c r="M242" s="76"/>
      <c r="N242" s="76"/>
      <c r="O242" s="76"/>
      <c r="P242" s="77"/>
      <c r="Q242" s="80"/>
    </row>
    <row r="243" spans="9:17" s="55" customFormat="1" ht="15" customHeight="1">
      <c r="I243" s="76"/>
      <c r="J243" s="76"/>
      <c r="K243" s="76"/>
      <c r="L243" s="76"/>
      <c r="M243" s="76"/>
      <c r="N243" s="76"/>
      <c r="O243" s="76"/>
      <c r="P243" s="77"/>
      <c r="Q243" s="80"/>
    </row>
    <row r="244" spans="9:17" s="55" customFormat="1" ht="15" customHeight="1">
      <c r="I244" s="76"/>
      <c r="J244" s="76"/>
      <c r="K244" s="76"/>
      <c r="L244" s="76"/>
      <c r="M244" s="76"/>
      <c r="N244" s="76"/>
      <c r="O244" s="76"/>
      <c r="P244" s="77"/>
      <c r="Q244" s="80"/>
    </row>
    <row r="245" spans="9:17" s="55" customFormat="1" ht="15" customHeight="1">
      <c r="I245" s="76"/>
      <c r="J245" s="76"/>
      <c r="K245" s="76"/>
      <c r="L245" s="76"/>
      <c r="M245" s="76"/>
      <c r="N245" s="76"/>
      <c r="O245" s="76"/>
      <c r="P245" s="77"/>
      <c r="Q245" s="80"/>
    </row>
    <row r="246" spans="9:17" s="55" customFormat="1" ht="15" customHeight="1">
      <c r="I246" s="76"/>
      <c r="J246" s="76"/>
      <c r="K246" s="76"/>
      <c r="L246" s="76"/>
      <c r="M246" s="76"/>
      <c r="N246" s="76"/>
      <c r="O246" s="76"/>
      <c r="P246" s="77"/>
      <c r="Q246" s="80"/>
    </row>
    <row r="247" spans="9:17" s="55" customFormat="1" ht="15" customHeight="1">
      <c r="I247" s="76"/>
      <c r="J247" s="76"/>
      <c r="K247" s="76"/>
      <c r="L247" s="76"/>
      <c r="M247" s="76"/>
      <c r="N247" s="76"/>
      <c r="O247" s="76"/>
      <c r="P247" s="77"/>
      <c r="Q247" s="80"/>
    </row>
    <row r="248" spans="9:17" s="55" customFormat="1" ht="15" customHeight="1">
      <c r="I248" s="76"/>
      <c r="J248" s="76"/>
      <c r="K248" s="76"/>
      <c r="L248" s="76"/>
      <c r="M248" s="76"/>
      <c r="N248" s="76"/>
      <c r="O248" s="76"/>
      <c r="P248" s="77"/>
      <c r="Q248" s="80"/>
    </row>
    <row r="249" spans="9:17" s="55" customFormat="1" ht="15" customHeight="1">
      <c r="I249" s="76"/>
      <c r="J249" s="76"/>
      <c r="K249" s="76"/>
      <c r="L249" s="76"/>
      <c r="M249" s="76"/>
      <c r="N249" s="76"/>
      <c r="O249" s="76"/>
      <c r="P249" s="77"/>
      <c r="Q249" s="80"/>
    </row>
    <row r="250" spans="9:17" s="55" customFormat="1" ht="15" customHeight="1">
      <c r="I250" s="76"/>
      <c r="J250" s="76"/>
      <c r="K250" s="76"/>
      <c r="L250" s="76"/>
      <c r="M250" s="76"/>
      <c r="N250" s="76"/>
      <c r="O250" s="76"/>
      <c r="P250" s="77"/>
      <c r="Q250" s="80"/>
    </row>
    <row r="251" spans="9:17" s="55" customFormat="1" ht="15" customHeight="1">
      <c r="I251" s="76"/>
      <c r="J251" s="76"/>
      <c r="K251" s="76"/>
      <c r="L251" s="76"/>
      <c r="M251" s="76"/>
      <c r="N251" s="76"/>
      <c r="O251" s="76"/>
      <c r="P251" s="77"/>
      <c r="Q251" s="80"/>
    </row>
    <row r="252" spans="9:17" s="55" customFormat="1" ht="15" customHeight="1">
      <c r="I252" s="76"/>
      <c r="J252" s="76"/>
      <c r="K252" s="76"/>
      <c r="L252" s="76"/>
      <c r="M252" s="76"/>
      <c r="N252" s="76"/>
      <c r="O252" s="76"/>
      <c r="P252" s="77"/>
      <c r="Q252" s="80"/>
    </row>
    <row r="253" spans="9:17" s="55" customFormat="1" ht="15" customHeight="1">
      <c r="I253" s="76"/>
      <c r="J253" s="76"/>
      <c r="K253" s="76"/>
      <c r="L253" s="76"/>
      <c r="M253" s="76"/>
      <c r="N253" s="76"/>
      <c r="O253" s="76"/>
      <c r="P253" s="77"/>
      <c r="Q253" s="80"/>
    </row>
    <row r="254" spans="9:17" s="55" customFormat="1" ht="15" customHeight="1">
      <c r="I254" s="76"/>
      <c r="J254" s="76"/>
      <c r="K254" s="76"/>
      <c r="L254" s="76"/>
      <c r="M254" s="76"/>
      <c r="N254" s="76"/>
      <c r="O254" s="76"/>
      <c r="P254" s="77"/>
      <c r="Q254" s="80"/>
    </row>
    <row r="255" spans="9:17" s="55" customFormat="1" ht="15" customHeight="1">
      <c r="I255" s="76"/>
      <c r="J255" s="76"/>
      <c r="K255" s="76"/>
      <c r="L255" s="76"/>
      <c r="M255" s="76"/>
      <c r="N255" s="76"/>
      <c r="O255" s="76"/>
      <c r="P255" s="77"/>
      <c r="Q255" s="80"/>
    </row>
    <row r="256" spans="9:17" s="55" customFormat="1" ht="15" customHeight="1">
      <c r="I256" s="76"/>
      <c r="J256" s="76"/>
      <c r="K256" s="76"/>
      <c r="L256" s="76"/>
      <c r="M256" s="76"/>
      <c r="N256" s="76"/>
      <c r="O256" s="76"/>
      <c r="P256" s="77"/>
      <c r="Q256" s="80"/>
    </row>
    <row r="257" spans="9:17" s="55" customFormat="1" ht="15" customHeight="1">
      <c r="I257" s="76"/>
      <c r="J257" s="76"/>
      <c r="K257" s="76"/>
      <c r="L257" s="76"/>
      <c r="M257" s="76"/>
      <c r="N257" s="76"/>
      <c r="O257" s="76"/>
      <c r="P257" s="77"/>
      <c r="Q257" s="80"/>
    </row>
    <row r="258" spans="9:17" s="55" customFormat="1" ht="15" customHeight="1">
      <c r="I258" s="76"/>
      <c r="J258" s="76"/>
      <c r="K258" s="76"/>
      <c r="L258" s="76"/>
      <c r="M258" s="76"/>
      <c r="N258" s="76"/>
      <c r="O258" s="76"/>
      <c r="P258" s="77"/>
      <c r="Q258" s="80"/>
    </row>
  </sheetData>
  <sheetProtection/>
  <mergeCells count="16">
    <mergeCell ref="A2:AA2"/>
    <mergeCell ref="C4:E4"/>
    <mergeCell ref="F4:H4"/>
    <mergeCell ref="I4:K4"/>
    <mergeCell ref="L4:N4"/>
    <mergeCell ref="P4:R4"/>
    <mergeCell ref="S4:U4"/>
    <mergeCell ref="V4:X4"/>
    <mergeCell ref="Y4:AA4"/>
    <mergeCell ref="AB4:AD4"/>
    <mergeCell ref="AE4:AG4"/>
    <mergeCell ref="AH4:AK4"/>
    <mergeCell ref="A6:B6"/>
    <mergeCell ref="A34:AA34"/>
    <mergeCell ref="A4:A5"/>
    <mergeCell ref="B4:B5"/>
  </mergeCells>
  <printOptions horizontalCentered="1"/>
  <pageMargins left="0.39305555555555555" right="0.39305555555555555" top="0.5902777777777778" bottom="0.7909722222222222" header="0.5" footer="0.5"/>
  <pageSetup fitToHeight="0" fitToWidth="1" horizontalDpi="600" verticalDpi="600" orientation="landscape" paperSize="8" scale="97"/>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B131"/>
  <sheetViews>
    <sheetView zoomScale="85" zoomScaleNormal="85" zoomScaleSheetLayoutView="100" workbookViewId="0" topLeftCell="A1">
      <selection activeCell="Q24" sqref="Q24"/>
    </sheetView>
  </sheetViews>
  <sheetFormatPr defaultColWidth="8.125" defaultRowHeight="13.5" customHeight="1"/>
  <cols>
    <col min="1" max="1" width="11.125" style="3" customWidth="1"/>
    <col min="2" max="3" width="11.125" style="34" customWidth="1"/>
    <col min="4" max="4" width="11.375" style="5" customWidth="1"/>
    <col min="5" max="5" width="8.125" style="5" customWidth="1"/>
    <col min="6" max="6" width="9.375" style="5" bestFit="1" customWidth="1"/>
    <col min="7" max="7" width="7.875" style="5" customWidth="1"/>
    <col min="8" max="8" width="10.625" style="5" customWidth="1"/>
    <col min="9" max="9" width="8.125" style="5" customWidth="1"/>
    <col min="10" max="10" width="8.50390625" style="5" bestFit="1" customWidth="1"/>
    <col min="11" max="13" width="8.125" style="5" customWidth="1"/>
    <col min="14" max="14" width="9.25390625" style="5" customWidth="1"/>
    <col min="15" max="15" width="8.125" style="5" customWidth="1"/>
    <col min="16" max="16" width="8.50390625" style="5" bestFit="1" customWidth="1"/>
    <col min="17" max="19" width="8.125" style="5" customWidth="1"/>
    <col min="20" max="20" width="9.50390625" style="5" bestFit="1" customWidth="1"/>
    <col min="21" max="25" width="8.125" style="5" customWidth="1"/>
    <col min="26" max="26" width="9.50390625" style="5" bestFit="1" customWidth="1"/>
    <col min="27" max="27" width="8.125" style="5" customWidth="1"/>
    <col min="28" max="28" width="9.50390625" style="5" bestFit="1" customWidth="1"/>
    <col min="29" max="16384" width="8.125" style="5" customWidth="1"/>
  </cols>
  <sheetData>
    <row r="1" ht="13.5" customHeight="1">
      <c r="A1" s="3" t="s">
        <v>339</v>
      </c>
    </row>
    <row r="2" spans="1:28" ht="20.25">
      <c r="A2" s="35" t="s">
        <v>340</v>
      </c>
      <c r="B2" s="35"/>
      <c r="C2" s="35"/>
      <c r="D2" s="35"/>
      <c r="E2" s="35"/>
      <c r="F2" s="35"/>
      <c r="G2" s="35"/>
      <c r="H2" s="35"/>
      <c r="I2" s="35"/>
      <c r="J2" s="35"/>
      <c r="K2" s="35"/>
      <c r="L2" s="35"/>
      <c r="M2" s="35"/>
      <c r="N2" s="35"/>
      <c r="O2" s="35"/>
      <c r="P2" s="35"/>
      <c r="Q2" s="35"/>
      <c r="R2" s="35"/>
      <c r="S2" s="35"/>
      <c r="T2" s="35"/>
      <c r="U2" s="35"/>
      <c r="V2" s="35"/>
      <c r="W2" s="35"/>
      <c r="X2" s="35"/>
      <c r="Y2" s="35"/>
      <c r="Z2" s="35"/>
      <c r="AA2" s="35"/>
      <c r="AB2" s="35"/>
    </row>
    <row r="3" spans="1:28" ht="14.25">
      <c r="A3" s="36" t="s">
        <v>341</v>
      </c>
      <c r="B3" s="36"/>
      <c r="C3" s="36"/>
      <c r="D3" s="36"/>
      <c r="E3" s="36"/>
      <c r="F3" s="36"/>
      <c r="G3" s="36"/>
      <c r="H3" s="36"/>
      <c r="I3" s="36"/>
      <c r="J3" s="36"/>
      <c r="K3" s="36"/>
      <c r="L3" s="36"/>
      <c r="M3" s="36"/>
      <c r="N3" s="36"/>
      <c r="O3" s="36"/>
      <c r="P3" s="36"/>
      <c r="Q3" s="36"/>
      <c r="R3" s="36"/>
      <c r="S3" s="36"/>
      <c r="T3" s="36"/>
      <c r="U3" s="36"/>
      <c r="V3" s="36"/>
      <c r="W3" s="36"/>
      <c r="X3" s="36"/>
      <c r="Y3" s="36"/>
      <c r="Z3" s="36"/>
      <c r="AA3" s="36"/>
      <c r="AB3" s="36"/>
    </row>
    <row r="4" spans="1:28" ht="14.25">
      <c r="A4" s="37" t="s">
        <v>342</v>
      </c>
      <c r="B4" s="37"/>
      <c r="C4" s="37"/>
      <c r="D4" s="37"/>
      <c r="E4" s="37"/>
      <c r="F4" s="37"/>
      <c r="G4" s="37"/>
      <c r="H4" s="37"/>
      <c r="I4" s="37"/>
      <c r="J4" s="37"/>
      <c r="K4" s="37"/>
      <c r="L4" s="37"/>
      <c r="M4" s="37"/>
      <c r="N4" s="37"/>
      <c r="O4" s="37"/>
      <c r="P4" s="37"/>
      <c r="Q4" s="37"/>
      <c r="R4" s="37"/>
      <c r="S4" s="37"/>
      <c r="T4" s="37"/>
      <c r="U4" s="37"/>
      <c r="V4" s="37"/>
      <c r="W4" s="37"/>
      <c r="X4" s="37"/>
      <c r="Y4" s="37"/>
      <c r="Z4" s="37"/>
      <c r="AA4" s="37"/>
      <c r="AB4" s="37"/>
    </row>
    <row r="5" spans="1:28" ht="14.25">
      <c r="A5" s="38" t="s">
        <v>4</v>
      </c>
      <c r="B5" s="39" t="s">
        <v>343</v>
      </c>
      <c r="C5" s="39"/>
      <c r="D5" s="40"/>
      <c r="E5" s="41" t="s">
        <v>344</v>
      </c>
      <c r="F5" s="41"/>
      <c r="G5" s="41"/>
      <c r="H5" s="41"/>
      <c r="I5" s="41"/>
      <c r="J5" s="41"/>
      <c r="K5" s="41"/>
      <c r="L5" s="41"/>
      <c r="M5" s="41" t="s">
        <v>345</v>
      </c>
      <c r="N5" s="41"/>
      <c r="O5" s="41"/>
      <c r="P5" s="41"/>
      <c r="Q5" s="41"/>
      <c r="R5" s="41"/>
      <c r="S5" s="41" t="s">
        <v>346</v>
      </c>
      <c r="T5" s="41"/>
      <c r="U5" s="41"/>
      <c r="V5" s="41"/>
      <c r="W5" s="41"/>
      <c r="X5" s="41"/>
      <c r="Y5" s="41" t="s">
        <v>347</v>
      </c>
      <c r="Z5" s="41"/>
      <c r="AA5" s="41"/>
      <c r="AB5" s="41"/>
    </row>
    <row r="6" spans="1:28" ht="42.75">
      <c r="A6" s="38"/>
      <c r="B6" s="41" t="s">
        <v>348</v>
      </c>
      <c r="C6" s="41" t="s">
        <v>348</v>
      </c>
      <c r="D6" s="42" t="s">
        <v>349</v>
      </c>
      <c r="E6" s="41" t="s">
        <v>350</v>
      </c>
      <c r="F6" s="41" t="s">
        <v>351</v>
      </c>
      <c r="G6" s="41" t="s">
        <v>352</v>
      </c>
      <c r="H6" s="41" t="s">
        <v>353</v>
      </c>
      <c r="I6" s="41" t="s">
        <v>354</v>
      </c>
      <c r="J6" s="41" t="s">
        <v>355</v>
      </c>
      <c r="K6" s="41" t="s">
        <v>356</v>
      </c>
      <c r="L6" s="41" t="s">
        <v>357</v>
      </c>
      <c r="M6" s="41" t="s">
        <v>358</v>
      </c>
      <c r="N6" s="41" t="s">
        <v>359</v>
      </c>
      <c r="O6" s="41" t="s">
        <v>360</v>
      </c>
      <c r="P6" s="41" t="s">
        <v>361</v>
      </c>
      <c r="Q6" s="41" t="s">
        <v>356</v>
      </c>
      <c r="R6" s="41" t="s">
        <v>362</v>
      </c>
      <c r="S6" s="41" t="s">
        <v>358</v>
      </c>
      <c r="T6" s="41" t="s">
        <v>363</v>
      </c>
      <c r="U6" s="41" t="s">
        <v>360</v>
      </c>
      <c r="V6" s="41" t="s">
        <v>364</v>
      </c>
      <c r="W6" s="41" t="s">
        <v>356</v>
      </c>
      <c r="X6" s="41" t="s">
        <v>362</v>
      </c>
      <c r="Y6" s="41" t="s">
        <v>365</v>
      </c>
      <c r="Z6" s="41" t="s">
        <v>366</v>
      </c>
      <c r="AA6" s="41" t="s">
        <v>367</v>
      </c>
      <c r="AB6" s="41" t="s">
        <v>368</v>
      </c>
    </row>
    <row r="7" spans="1:28" ht="14.25">
      <c r="A7" s="38"/>
      <c r="B7" s="41" t="s">
        <v>348</v>
      </c>
      <c r="C7" s="41" t="s">
        <v>348</v>
      </c>
      <c r="D7" s="41" t="s">
        <v>348</v>
      </c>
      <c r="E7" s="41" t="s">
        <v>369</v>
      </c>
      <c r="F7" s="41" t="s">
        <v>370</v>
      </c>
      <c r="G7" s="41" t="s">
        <v>369</v>
      </c>
      <c r="H7" s="41" t="s">
        <v>370</v>
      </c>
      <c r="I7" s="41" t="s">
        <v>369</v>
      </c>
      <c r="J7" s="41" t="s">
        <v>370</v>
      </c>
      <c r="K7" s="41" t="s">
        <v>369</v>
      </c>
      <c r="L7" s="41" t="s">
        <v>370</v>
      </c>
      <c r="M7" s="41" t="s">
        <v>369</v>
      </c>
      <c r="N7" s="41" t="s">
        <v>370</v>
      </c>
      <c r="O7" s="41" t="s">
        <v>369</v>
      </c>
      <c r="P7" s="41" t="s">
        <v>370</v>
      </c>
      <c r="Q7" s="41" t="s">
        <v>369</v>
      </c>
      <c r="R7" s="41" t="s">
        <v>370</v>
      </c>
      <c r="S7" s="41" t="s">
        <v>369</v>
      </c>
      <c r="T7" s="41" t="s">
        <v>370</v>
      </c>
      <c r="U7" s="41" t="s">
        <v>369</v>
      </c>
      <c r="V7" s="41" t="s">
        <v>370</v>
      </c>
      <c r="W7" s="41" t="s">
        <v>369</v>
      </c>
      <c r="X7" s="41" t="s">
        <v>370</v>
      </c>
      <c r="Y7" s="41" t="s">
        <v>369</v>
      </c>
      <c r="Z7" s="41" t="s">
        <v>370</v>
      </c>
      <c r="AA7" s="41" t="s">
        <v>369</v>
      </c>
      <c r="AB7" s="41" t="s">
        <v>370</v>
      </c>
    </row>
    <row r="8" spans="1:28" s="32" customFormat="1" ht="14.25">
      <c r="A8" s="43" t="s">
        <v>283</v>
      </c>
      <c r="B8" s="43">
        <f>B11</f>
        <v>3332.5499999999997</v>
      </c>
      <c r="C8" s="43">
        <f>C11</f>
        <v>14686.74</v>
      </c>
      <c r="D8" s="43">
        <f>D11</f>
        <v>18019.29</v>
      </c>
      <c r="E8" s="43">
        <f aca="true" t="shared" si="0" ref="C8:AB8">E11</f>
        <v>106015</v>
      </c>
      <c r="F8" s="43">
        <f t="shared" si="0"/>
        <v>5300750</v>
      </c>
      <c r="G8" s="43">
        <f t="shared" si="0"/>
        <v>26225</v>
      </c>
      <c r="H8" s="43">
        <f t="shared" si="0"/>
        <v>13112500</v>
      </c>
      <c r="I8" s="43">
        <f t="shared" si="0"/>
        <v>2694</v>
      </c>
      <c r="J8" s="43">
        <f t="shared" si="0"/>
        <v>4983900</v>
      </c>
      <c r="K8" s="43">
        <f t="shared" si="0"/>
        <v>335</v>
      </c>
      <c r="L8" s="43">
        <f t="shared" si="0"/>
        <v>402000</v>
      </c>
      <c r="M8" s="43">
        <f t="shared" si="0"/>
        <v>294280</v>
      </c>
      <c r="N8" s="43">
        <f t="shared" si="0"/>
        <v>37079280</v>
      </c>
      <c r="O8" s="43">
        <f t="shared" si="0"/>
        <v>4848</v>
      </c>
      <c r="P8" s="43">
        <f t="shared" si="0"/>
        <v>3873642</v>
      </c>
      <c r="Q8" s="43">
        <f t="shared" si="0"/>
        <v>227</v>
      </c>
      <c r="R8" s="43">
        <f t="shared" si="0"/>
        <v>178876</v>
      </c>
      <c r="S8" s="43">
        <f t="shared" si="0"/>
        <v>252963</v>
      </c>
      <c r="T8" s="43">
        <f t="shared" si="0"/>
        <v>22260744</v>
      </c>
      <c r="U8" s="43">
        <f t="shared" si="0"/>
        <v>1091</v>
      </c>
      <c r="V8" s="43">
        <f t="shared" si="0"/>
        <v>211654</v>
      </c>
      <c r="W8" s="43">
        <f t="shared" si="0"/>
        <v>132</v>
      </c>
      <c r="X8" s="43">
        <f t="shared" si="0"/>
        <v>104016</v>
      </c>
      <c r="Y8" s="43">
        <f t="shared" si="0"/>
        <v>438348</v>
      </c>
      <c r="Z8" s="43">
        <f t="shared" si="0"/>
        <v>15780780</v>
      </c>
      <c r="AA8" s="43">
        <f t="shared" si="0"/>
        <v>429508</v>
      </c>
      <c r="AB8" s="43">
        <f t="shared" si="0"/>
        <v>18468844</v>
      </c>
    </row>
    <row r="9" spans="1:28" s="33" customFormat="1" ht="14.25">
      <c r="A9" s="44" t="s">
        <v>38</v>
      </c>
      <c r="B9" s="38">
        <f>ROUNDUP((F9+H9+J9+L9)/10000,2)</f>
        <v>0</v>
      </c>
      <c r="C9" s="38">
        <f>ROUNDUP((N9+P9+R9+T9+V9+X9+Z9+AB9)/10000,2)</f>
        <v>0</v>
      </c>
      <c r="D9" s="45">
        <f aca="true" t="shared" si="1" ref="D9:D51">B9+C9</f>
        <v>0</v>
      </c>
      <c r="E9" s="46"/>
      <c r="F9" s="46"/>
      <c r="G9" s="46"/>
      <c r="H9" s="46"/>
      <c r="I9" s="46"/>
      <c r="J9" s="46"/>
      <c r="K9" s="46"/>
      <c r="L9" s="46"/>
      <c r="M9" s="46"/>
      <c r="N9" s="46"/>
      <c r="O9" s="46"/>
      <c r="P9" s="46"/>
      <c r="Q9" s="46"/>
      <c r="R9" s="46"/>
      <c r="S9" s="46"/>
      <c r="T9" s="46"/>
      <c r="U9" s="46"/>
      <c r="V9" s="46"/>
      <c r="W9" s="46"/>
      <c r="X9" s="46"/>
      <c r="Y9" s="46"/>
      <c r="Z9" s="46"/>
      <c r="AA9" s="46"/>
      <c r="AB9" s="46"/>
    </row>
    <row r="10" spans="1:28" s="33" customFormat="1" ht="14.25">
      <c r="A10" s="44" t="s">
        <v>371</v>
      </c>
      <c r="B10" s="38">
        <f>ROUNDUP((F10+H10+J10+L10)/10000,2)</f>
        <v>0</v>
      </c>
      <c r="C10" s="38">
        <f>ROUNDUP((N10+P10+R10+T10+V10+X10+Z10+AB10)/10000,2)</f>
        <v>0</v>
      </c>
      <c r="D10" s="45">
        <f t="shared" si="1"/>
        <v>0</v>
      </c>
      <c r="E10" s="46"/>
      <c r="F10" s="46"/>
      <c r="G10" s="46"/>
      <c r="H10" s="46"/>
      <c r="I10" s="46"/>
      <c r="J10" s="46"/>
      <c r="K10" s="46"/>
      <c r="L10" s="46"/>
      <c r="M10" s="46"/>
      <c r="N10" s="46"/>
      <c r="O10" s="46"/>
      <c r="P10" s="46"/>
      <c r="Q10" s="46"/>
      <c r="R10" s="46"/>
      <c r="S10" s="46"/>
      <c r="T10" s="46"/>
      <c r="U10" s="46"/>
      <c r="V10" s="46"/>
      <c r="W10" s="46"/>
      <c r="X10" s="46"/>
      <c r="Y10" s="46"/>
      <c r="Z10" s="46"/>
      <c r="AA10" s="46"/>
      <c r="AB10" s="46"/>
    </row>
    <row r="11" spans="1:28" s="32" customFormat="1" ht="14.25">
      <c r="A11" s="47" t="s">
        <v>40</v>
      </c>
      <c r="B11" s="43">
        <f>B12+B21+B33+B41+B51+B58+B64+B69+B75+B86+B93+B103+B113+B118+B125</f>
        <v>3332.5499999999997</v>
      </c>
      <c r="C11" s="43">
        <f>C12+C21+C33+C41+C51+C58+C64+C69+C75+C86+C93+C103+C113+C118+C125</f>
        <v>14686.74</v>
      </c>
      <c r="D11" s="43">
        <f t="shared" si="1"/>
        <v>18019.29</v>
      </c>
      <c r="E11" s="47">
        <f aca="true" t="shared" si="2" ref="D11:AB11">E12+E21+E33+E41+E51+E58+E64+E69+E75+E86+E93+E103+E113+E118+E125</f>
        <v>106015</v>
      </c>
      <c r="F11" s="47">
        <f t="shared" si="2"/>
        <v>5300750</v>
      </c>
      <c r="G11" s="47">
        <f t="shared" si="2"/>
        <v>26225</v>
      </c>
      <c r="H11" s="47">
        <f t="shared" si="2"/>
        <v>13112500</v>
      </c>
      <c r="I11" s="47">
        <f t="shared" si="2"/>
        <v>2694</v>
      </c>
      <c r="J11" s="47">
        <f t="shared" si="2"/>
        <v>4983900</v>
      </c>
      <c r="K11" s="47">
        <f t="shared" si="2"/>
        <v>335</v>
      </c>
      <c r="L11" s="47">
        <f t="shared" si="2"/>
        <v>402000</v>
      </c>
      <c r="M11" s="47">
        <f t="shared" si="2"/>
        <v>294280</v>
      </c>
      <c r="N11" s="47">
        <f t="shared" si="2"/>
        <v>37079280</v>
      </c>
      <c r="O11" s="47">
        <f t="shared" si="2"/>
        <v>4848</v>
      </c>
      <c r="P11" s="47">
        <f t="shared" si="2"/>
        <v>3873642</v>
      </c>
      <c r="Q11" s="47">
        <f t="shared" si="2"/>
        <v>227</v>
      </c>
      <c r="R11" s="47">
        <f t="shared" si="2"/>
        <v>178876</v>
      </c>
      <c r="S11" s="47">
        <f t="shared" si="2"/>
        <v>252963</v>
      </c>
      <c r="T11" s="47">
        <f t="shared" si="2"/>
        <v>22260744</v>
      </c>
      <c r="U11" s="47">
        <f t="shared" si="2"/>
        <v>1091</v>
      </c>
      <c r="V11" s="47">
        <f t="shared" si="2"/>
        <v>211654</v>
      </c>
      <c r="W11" s="47">
        <f t="shared" si="2"/>
        <v>132</v>
      </c>
      <c r="X11" s="47">
        <f t="shared" si="2"/>
        <v>104016</v>
      </c>
      <c r="Y11" s="47">
        <f t="shared" si="2"/>
        <v>438348</v>
      </c>
      <c r="Z11" s="47">
        <f t="shared" si="2"/>
        <v>15780780</v>
      </c>
      <c r="AA11" s="47">
        <f t="shared" si="2"/>
        <v>429508</v>
      </c>
      <c r="AB11" s="47">
        <f t="shared" si="2"/>
        <v>18468844</v>
      </c>
    </row>
    <row r="12" spans="1:28" s="32" customFormat="1" ht="14.25">
      <c r="A12" s="47" t="s">
        <v>41</v>
      </c>
      <c r="B12" s="43">
        <f>SUM(B13:B20)</f>
        <v>68.7</v>
      </c>
      <c r="C12" s="43">
        <f>SUM(C13:C20)</f>
        <v>857.27</v>
      </c>
      <c r="D12" s="48">
        <f t="shared" si="1"/>
        <v>925.97</v>
      </c>
      <c r="E12" s="47">
        <f aca="true" t="shared" si="3" ref="D12:AB12">SUM(E14:E16)</f>
        <v>2483</v>
      </c>
      <c r="F12" s="47">
        <f t="shared" si="3"/>
        <v>124150</v>
      </c>
      <c r="G12" s="47">
        <f t="shared" si="3"/>
        <v>198</v>
      </c>
      <c r="H12" s="47">
        <f t="shared" si="3"/>
        <v>99000</v>
      </c>
      <c r="I12" s="47">
        <f t="shared" si="3"/>
        <v>3</v>
      </c>
      <c r="J12" s="47">
        <f t="shared" si="3"/>
        <v>5550</v>
      </c>
      <c r="K12" s="47">
        <f t="shared" si="3"/>
        <v>0</v>
      </c>
      <c r="L12" s="47">
        <f t="shared" si="3"/>
        <v>0</v>
      </c>
      <c r="M12" s="47">
        <f t="shared" si="3"/>
        <v>12372</v>
      </c>
      <c r="N12" s="47">
        <f t="shared" si="3"/>
        <v>1558872</v>
      </c>
      <c r="O12" s="47">
        <f t="shared" si="3"/>
        <v>10</v>
      </c>
      <c r="P12" s="47">
        <f t="shared" si="3"/>
        <v>7990</v>
      </c>
      <c r="Q12" s="47">
        <f t="shared" si="3"/>
        <v>1</v>
      </c>
      <c r="R12" s="47">
        <f t="shared" si="3"/>
        <v>788</v>
      </c>
      <c r="S12" s="47">
        <f t="shared" si="3"/>
        <v>9869</v>
      </c>
      <c r="T12" s="47">
        <f t="shared" si="3"/>
        <v>868472</v>
      </c>
      <c r="U12" s="47">
        <f t="shared" si="3"/>
        <v>0</v>
      </c>
      <c r="V12" s="47">
        <f t="shared" si="3"/>
        <v>0</v>
      </c>
      <c r="W12" s="47">
        <f t="shared" si="3"/>
        <v>0</v>
      </c>
      <c r="X12" s="47">
        <f t="shared" si="3"/>
        <v>0</v>
      </c>
      <c r="Y12" s="47">
        <f t="shared" si="3"/>
        <v>17377</v>
      </c>
      <c r="Z12" s="47">
        <f t="shared" si="3"/>
        <v>625572</v>
      </c>
      <c r="AA12" s="47">
        <f t="shared" si="3"/>
        <v>17818</v>
      </c>
      <c r="AB12" s="47">
        <f t="shared" si="3"/>
        <v>766174</v>
      </c>
    </row>
    <row r="13" spans="1:28" s="33" customFormat="1" ht="14.25">
      <c r="A13" s="44" t="s">
        <v>42</v>
      </c>
      <c r="B13" s="38">
        <f>SUM(B14:B20)</f>
        <v>34.35</v>
      </c>
      <c r="C13" s="38">
        <f aca="true" t="shared" si="4" ref="C13:C20">ROUNDUP((N13+P13+R13+T13+V13+X13+Z13+AB13)/10000,2)</f>
        <v>0</v>
      </c>
      <c r="D13" s="45">
        <f t="shared" si="1"/>
        <v>34.35</v>
      </c>
      <c r="E13" s="46"/>
      <c r="F13" s="46"/>
      <c r="G13" s="46"/>
      <c r="H13" s="46"/>
      <c r="I13" s="46"/>
      <c r="J13" s="46"/>
      <c r="K13" s="46"/>
      <c r="L13" s="46"/>
      <c r="M13" s="46"/>
      <c r="N13" s="46"/>
      <c r="O13" s="46"/>
      <c r="P13" s="46"/>
      <c r="Q13" s="46"/>
      <c r="R13" s="46"/>
      <c r="S13" s="46"/>
      <c r="T13" s="46"/>
      <c r="U13" s="46"/>
      <c r="V13" s="46"/>
      <c r="W13" s="46"/>
      <c r="X13" s="46"/>
      <c r="Y13" s="46"/>
      <c r="Z13" s="46"/>
      <c r="AA13" s="46"/>
      <c r="AB13" s="46"/>
    </row>
    <row r="14" spans="1:28" s="33" customFormat="1" ht="14.25">
      <c r="A14" s="44" t="s">
        <v>43</v>
      </c>
      <c r="B14" s="38">
        <f aca="true" t="shared" si="5" ref="B14:B20">ROUNDUP((F14+H14+J14+L14)/10000,2)</f>
        <v>12.67</v>
      </c>
      <c r="C14" s="38">
        <f t="shared" si="4"/>
        <v>108.13</v>
      </c>
      <c r="D14" s="45">
        <f t="shared" si="1"/>
        <v>120.8</v>
      </c>
      <c r="E14" s="46">
        <v>823</v>
      </c>
      <c r="F14" s="46">
        <v>41150</v>
      </c>
      <c r="G14" s="46">
        <v>160</v>
      </c>
      <c r="H14" s="46">
        <v>80000</v>
      </c>
      <c r="I14" s="46">
        <v>3</v>
      </c>
      <c r="J14" s="46">
        <v>5550</v>
      </c>
      <c r="K14" s="46">
        <v>0</v>
      </c>
      <c r="L14" s="46">
        <v>0</v>
      </c>
      <c r="M14" s="46">
        <v>3707</v>
      </c>
      <c r="N14" s="46">
        <v>467082</v>
      </c>
      <c r="O14" s="46">
        <v>9</v>
      </c>
      <c r="P14" s="46">
        <v>7191</v>
      </c>
      <c r="Q14" s="46">
        <v>1</v>
      </c>
      <c r="R14" s="46">
        <v>788</v>
      </c>
      <c r="S14" s="46">
        <v>2772</v>
      </c>
      <c r="T14" s="46">
        <v>243936</v>
      </c>
      <c r="U14" s="46">
        <v>0</v>
      </c>
      <c r="V14" s="46">
        <v>0</v>
      </c>
      <c r="W14" s="46">
        <v>0</v>
      </c>
      <c r="X14" s="46">
        <v>0</v>
      </c>
      <c r="Y14" s="46">
        <v>4590</v>
      </c>
      <c r="Z14" s="46">
        <v>165240</v>
      </c>
      <c r="AA14" s="46">
        <v>4582</v>
      </c>
      <c r="AB14" s="46">
        <v>197026</v>
      </c>
    </row>
    <row r="15" spans="1:28" s="33" customFormat="1" ht="14.25">
      <c r="A15" s="44" t="s">
        <v>44</v>
      </c>
      <c r="B15" s="38">
        <f t="shared" si="5"/>
        <v>8.48</v>
      </c>
      <c r="C15" s="38">
        <f t="shared" si="4"/>
        <v>164.87</v>
      </c>
      <c r="D15" s="45">
        <f t="shared" si="1"/>
        <v>173.35</v>
      </c>
      <c r="E15" s="46">
        <v>1376</v>
      </c>
      <c r="F15" s="46">
        <v>68800</v>
      </c>
      <c r="G15" s="46">
        <v>32</v>
      </c>
      <c r="H15" s="46">
        <v>16000</v>
      </c>
      <c r="I15" s="46">
        <v>0</v>
      </c>
      <c r="J15" s="46">
        <v>0</v>
      </c>
      <c r="K15" s="46">
        <v>0</v>
      </c>
      <c r="L15" s="46">
        <v>0</v>
      </c>
      <c r="M15" s="46">
        <v>5379</v>
      </c>
      <c r="N15" s="46">
        <v>677754</v>
      </c>
      <c r="O15" s="46">
        <v>1</v>
      </c>
      <c r="P15" s="46">
        <v>799</v>
      </c>
      <c r="Q15" s="46">
        <v>0</v>
      </c>
      <c r="R15" s="46">
        <v>0</v>
      </c>
      <c r="S15" s="46">
        <v>4360</v>
      </c>
      <c r="T15" s="46">
        <v>383680</v>
      </c>
      <c r="U15" s="46">
        <v>0</v>
      </c>
      <c r="V15" s="46">
        <v>0</v>
      </c>
      <c r="W15" s="46">
        <v>0</v>
      </c>
      <c r="X15" s="46">
        <v>0</v>
      </c>
      <c r="Y15" s="46">
        <v>7427</v>
      </c>
      <c r="Z15" s="46">
        <v>267372</v>
      </c>
      <c r="AA15" s="46">
        <v>7420</v>
      </c>
      <c r="AB15" s="46">
        <v>319060</v>
      </c>
    </row>
    <row r="16" spans="1:28" s="33" customFormat="1" ht="14.25">
      <c r="A16" s="44" t="s">
        <v>45</v>
      </c>
      <c r="B16" s="38">
        <f t="shared" si="5"/>
        <v>1.72</v>
      </c>
      <c r="C16" s="38">
        <f t="shared" si="4"/>
        <v>109.8</v>
      </c>
      <c r="D16" s="45">
        <f t="shared" si="1"/>
        <v>111.52</v>
      </c>
      <c r="E16" s="46">
        <v>284</v>
      </c>
      <c r="F16" s="46">
        <v>14200</v>
      </c>
      <c r="G16" s="46">
        <v>6</v>
      </c>
      <c r="H16" s="46">
        <v>3000</v>
      </c>
      <c r="I16" s="46">
        <v>0</v>
      </c>
      <c r="J16" s="46">
        <v>0</v>
      </c>
      <c r="K16" s="46">
        <v>0</v>
      </c>
      <c r="L16" s="46">
        <v>0</v>
      </c>
      <c r="M16" s="46">
        <v>3286</v>
      </c>
      <c r="N16" s="46">
        <v>414036</v>
      </c>
      <c r="O16" s="46">
        <v>0</v>
      </c>
      <c r="P16" s="46">
        <v>0</v>
      </c>
      <c r="Q16" s="46">
        <v>0</v>
      </c>
      <c r="R16" s="46">
        <v>0</v>
      </c>
      <c r="S16" s="46">
        <v>2737</v>
      </c>
      <c r="T16" s="46">
        <v>240856</v>
      </c>
      <c r="U16" s="46">
        <v>0</v>
      </c>
      <c r="V16" s="46">
        <v>0</v>
      </c>
      <c r="W16" s="46">
        <v>0</v>
      </c>
      <c r="X16" s="46">
        <v>0</v>
      </c>
      <c r="Y16" s="46">
        <v>5360</v>
      </c>
      <c r="Z16" s="46">
        <v>192960</v>
      </c>
      <c r="AA16" s="46">
        <v>5816</v>
      </c>
      <c r="AB16" s="46">
        <v>250088</v>
      </c>
    </row>
    <row r="17" spans="1:28" s="33" customFormat="1" ht="14.25">
      <c r="A17" s="44" t="s">
        <v>46</v>
      </c>
      <c r="B17" s="38">
        <f t="shared" si="5"/>
        <v>0.23</v>
      </c>
      <c r="C17" s="38">
        <f t="shared" si="4"/>
        <v>62.09</v>
      </c>
      <c r="D17" s="45">
        <f t="shared" si="1"/>
        <v>62.32</v>
      </c>
      <c r="E17" s="46">
        <v>6</v>
      </c>
      <c r="F17" s="46">
        <v>300</v>
      </c>
      <c r="G17" s="46">
        <v>4</v>
      </c>
      <c r="H17" s="46">
        <v>2000</v>
      </c>
      <c r="I17" s="46">
        <v>0</v>
      </c>
      <c r="J17" s="46">
        <v>0</v>
      </c>
      <c r="K17" s="46">
        <v>0</v>
      </c>
      <c r="L17" s="46">
        <v>0</v>
      </c>
      <c r="M17" s="46">
        <v>2312</v>
      </c>
      <c r="N17" s="46">
        <v>291312</v>
      </c>
      <c r="O17" s="46">
        <v>0</v>
      </c>
      <c r="P17" s="46">
        <v>0</v>
      </c>
      <c r="Q17" s="46">
        <v>0</v>
      </c>
      <c r="R17" s="46">
        <v>0</v>
      </c>
      <c r="S17" s="46">
        <v>1473</v>
      </c>
      <c r="T17" s="46">
        <v>129624</v>
      </c>
      <c r="U17" s="46">
        <v>0</v>
      </c>
      <c r="V17" s="46">
        <v>0</v>
      </c>
      <c r="W17" s="46">
        <v>0</v>
      </c>
      <c r="X17" s="46">
        <v>0</v>
      </c>
      <c r="Y17" s="46">
        <v>2514</v>
      </c>
      <c r="Z17" s="46">
        <v>90504</v>
      </c>
      <c r="AA17" s="46">
        <v>2545</v>
      </c>
      <c r="AB17" s="46">
        <v>109435</v>
      </c>
    </row>
    <row r="18" spans="1:28" s="33" customFormat="1" ht="14.25">
      <c r="A18" s="44" t="s">
        <v>47</v>
      </c>
      <c r="B18" s="38">
        <f t="shared" si="5"/>
        <v>4.28</v>
      </c>
      <c r="C18" s="38">
        <f t="shared" si="4"/>
        <v>235.67</v>
      </c>
      <c r="D18" s="45">
        <f t="shared" si="1"/>
        <v>239.95</v>
      </c>
      <c r="E18" s="46">
        <v>756</v>
      </c>
      <c r="F18" s="46">
        <v>37800</v>
      </c>
      <c r="G18" s="46">
        <v>10</v>
      </c>
      <c r="H18" s="46">
        <v>5000</v>
      </c>
      <c r="I18" s="46">
        <v>0</v>
      </c>
      <c r="J18" s="46">
        <v>0</v>
      </c>
      <c r="K18" s="46">
        <v>0</v>
      </c>
      <c r="L18" s="46">
        <v>0</v>
      </c>
      <c r="M18" s="46">
        <v>8237</v>
      </c>
      <c r="N18" s="46">
        <v>1037862</v>
      </c>
      <c r="O18" s="46">
        <v>1</v>
      </c>
      <c r="P18" s="46">
        <v>799</v>
      </c>
      <c r="Q18" s="46">
        <v>0</v>
      </c>
      <c r="R18" s="46">
        <v>0</v>
      </c>
      <c r="S18" s="46">
        <v>4162</v>
      </c>
      <c r="T18" s="46">
        <v>366256</v>
      </c>
      <c r="U18" s="46">
        <v>0</v>
      </c>
      <c r="V18" s="46">
        <v>0</v>
      </c>
      <c r="W18" s="46">
        <v>0</v>
      </c>
      <c r="X18" s="46">
        <v>0</v>
      </c>
      <c r="Y18" s="46">
        <v>12440</v>
      </c>
      <c r="Z18" s="46">
        <v>447840</v>
      </c>
      <c r="AA18" s="46">
        <v>11718</v>
      </c>
      <c r="AB18" s="46">
        <v>503874</v>
      </c>
    </row>
    <row r="19" spans="1:28" s="33" customFormat="1" ht="14.25">
      <c r="A19" s="44" t="s">
        <v>48</v>
      </c>
      <c r="B19" s="38">
        <f t="shared" si="5"/>
        <v>5.44</v>
      </c>
      <c r="C19" s="38">
        <f t="shared" si="4"/>
        <v>169.02</v>
      </c>
      <c r="D19" s="45">
        <f t="shared" si="1"/>
        <v>174.46</v>
      </c>
      <c r="E19" s="46">
        <v>668</v>
      </c>
      <c r="F19" s="46">
        <v>33400</v>
      </c>
      <c r="G19" s="46">
        <v>42</v>
      </c>
      <c r="H19" s="46">
        <v>21000</v>
      </c>
      <c r="I19" s="46">
        <v>0</v>
      </c>
      <c r="J19" s="46">
        <v>0</v>
      </c>
      <c r="K19" s="46">
        <v>0</v>
      </c>
      <c r="L19" s="46">
        <v>0</v>
      </c>
      <c r="M19" s="46">
        <v>5269</v>
      </c>
      <c r="N19" s="46">
        <v>663894</v>
      </c>
      <c r="O19" s="46">
        <v>0</v>
      </c>
      <c r="P19" s="46">
        <v>0</v>
      </c>
      <c r="Q19" s="46">
        <v>0</v>
      </c>
      <c r="R19" s="46">
        <v>0</v>
      </c>
      <c r="S19" s="46">
        <v>903</v>
      </c>
      <c r="T19" s="46">
        <v>79464</v>
      </c>
      <c r="U19" s="46">
        <v>17</v>
      </c>
      <c r="V19" s="46">
        <v>3298</v>
      </c>
      <c r="W19" s="46">
        <v>0</v>
      </c>
      <c r="X19" s="46">
        <v>0</v>
      </c>
      <c r="Y19" s="46">
        <v>10961</v>
      </c>
      <c r="Z19" s="46">
        <v>394596</v>
      </c>
      <c r="AA19" s="46">
        <v>12764</v>
      </c>
      <c r="AB19" s="46">
        <v>548852</v>
      </c>
    </row>
    <row r="20" spans="1:28" s="33" customFormat="1" ht="14.25">
      <c r="A20" s="44" t="s">
        <v>49</v>
      </c>
      <c r="B20" s="38">
        <f t="shared" si="5"/>
        <v>1.53</v>
      </c>
      <c r="C20" s="38">
        <f t="shared" si="4"/>
        <v>7.69</v>
      </c>
      <c r="D20" s="45">
        <f t="shared" si="1"/>
        <v>9.22</v>
      </c>
      <c r="E20" s="46">
        <v>66</v>
      </c>
      <c r="F20" s="46">
        <v>3300</v>
      </c>
      <c r="G20" s="46">
        <v>24</v>
      </c>
      <c r="H20" s="46">
        <v>12000</v>
      </c>
      <c r="I20" s="46">
        <v>0</v>
      </c>
      <c r="J20" s="46">
        <v>0</v>
      </c>
      <c r="K20" s="46">
        <v>0</v>
      </c>
      <c r="L20" s="46">
        <v>0</v>
      </c>
      <c r="M20" s="46">
        <v>289</v>
      </c>
      <c r="N20" s="46">
        <v>36414</v>
      </c>
      <c r="O20" s="46">
        <v>0</v>
      </c>
      <c r="P20" s="46">
        <v>0</v>
      </c>
      <c r="Q20" s="46">
        <v>0</v>
      </c>
      <c r="R20" s="46">
        <v>0</v>
      </c>
      <c r="S20" s="46">
        <v>97</v>
      </c>
      <c r="T20" s="46">
        <v>8536</v>
      </c>
      <c r="U20" s="46">
        <v>0</v>
      </c>
      <c r="V20" s="46">
        <v>0</v>
      </c>
      <c r="W20" s="46">
        <v>0</v>
      </c>
      <c r="X20" s="46">
        <v>0</v>
      </c>
      <c r="Y20" s="46">
        <v>397</v>
      </c>
      <c r="Z20" s="46">
        <v>14292</v>
      </c>
      <c r="AA20" s="46">
        <v>410</v>
      </c>
      <c r="AB20" s="46">
        <v>17630</v>
      </c>
    </row>
    <row r="21" spans="1:28" s="32" customFormat="1" ht="14.25">
      <c r="A21" s="47" t="s">
        <v>50</v>
      </c>
      <c r="B21" s="43">
        <f>SUM(B22:B32)</f>
        <v>185.77</v>
      </c>
      <c r="C21" s="43">
        <f>SUM(C22:C32)</f>
        <v>789.17</v>
      </c>
      <c r="D21" s="48">
        <f t="shared" si="1"/>
        <v>974.9399999999999</v>
      </c>
      <c r="E21" s="47">
        <f aca="true" t="shared" si="6" ref="D21:AB21">SUM(E23:E31)</f>
        <v>6861</v>
      </c>
      <c r="F21" s="47">
        <f t="shared" si="6"/>
        <v>343050</v>
      </c>
      <c r="G21" s="47">
        <f t="shared" si="6"/>
        <v>2152</v>
      </c>
      <c r="H21" s="47">
        <f t="shared" si="6"/>
        <v>1076000</v>
      </c>
      <c r="I21" s="47">
        <f t="shared" si="6"/>
        <v>154</v>
      </c>
      <c r="J21" s="47">
        <f t="shared" si="6"/>
        <v>284900</v>
      </c>
      <c r="K21" s="47">
        <f t="shared" si="6"/>
        <v>39</v>
      </c>
      <c r="L21" s="47">
        <f t="shared" si="6"/>
        <v>46800</v>
      </c>
      <c r="M21" s="47">
        <f t="shared" si="6"/>
        <v>20937</v>
      </c>
      <c r="N21" s="47">
        <f t="shared" si="6"/>
        <v>2638062</v>
      </c>
      <c r="O21" s="47">
        <f t="shared" si="6"/>
        <v>766</v>
      </c>
      <c r="P21" s="47">
        <f t="shared" si="6"/>
        <v>612034</v>
      </c>
      <c r="Q21" s="47">
        <f t="shared" si="6"/>
        <v>34</v>
      </c>
      <c r="R21" s="47">
        <f t="shared" si="6"/>
        <v>26792</v>
      </c>
      <c r="S21" s="47">
        <f t="shared" si="6"/>
        <v>18946</v>
      </c>
      <c r="T21" s="47">
        <f t="shared" si="6"/>
        <v>1667248</v>
      </c>
      <c r="U21" s="47">
        <f t="shared" si="6"/>
        <v>18</v>
      </c>
      <c r="V21" s="47">
        <f t="shared" si="6"/>
        <v>3492</v>
      </c>
      <c r="W21" s="47">
        <f t="shared" si="6"/>
        <v>5</v>
      </c>
      <c r="X21" s="47">
        <f t="shared" si="6"/>
        <v>3940</v>
      </c>
      <c r="Y21" s="47">
        <f t="shared" si="6"/>
        <v>31414</v>
      </c>
      <c r="Z21" s="47">
        <f t="shared" si="6"/>
        <v>1130904</v>
      </c>
      <c r="AA21" s="47">
        <f t="shared" si="6"/>
        <v>31279</v>
      </c>
      <c r="AB21" s="47">
        <f t="shared" si="6"/>
        <v>1344997</v>
      </c>
    </row>
    <row r="22" spans="1:28" s="3" customFormat="1" ht="14.25">
      <c r="A22" s="44" t="s">
        <v>51</v>
      </c>
      <c r="B22" s="38">
        <f aca="true" t="shared" si="7" ref="B22:B32">ROUNDUP((F22+H22+J22+L22)/10000,2)</f>
        <v>0</v>
      </c>
      <c r="C22" s="38">
        <f aca="true" t="shared" si="8" ref="C22:C32">ROUNDUP((N22+P22+R22+T22+V22+X22+Z22+AB22)/10000,2)</f>
        <v>0</v>
      </c>
      <c r="D22" s="45">
        <f t="shared" si="1"/>
        <v>0</v>
      </c>
      <c r="E22" s="44"/>
      <c r="F22" s="44"/>
      <c r="G22" s="44"/>
      <c r="H22" s="44"/>
      <c r="I22" s="44"/>
      <c r="J22" s="44"/>
      <c r="K22" s="44"/>
      <c r="L22" s="44"/>
      <c r="M22" s="44"/>
      <c r="N22" s="44"/>
      <c r="O22" s="44"/>
      <c r="P22" s="44"/>
      <c r="Q22" s="44"/>
      <c r="R22" s="44"/>
      <c r="S22" s="44"/>
      <c r="T22" s="44"/>
      <c r="U22" s="44"/>
      <c r="V22" s="44"/>
      <c r="W22" s="44"/>
      <c r="X22" s="44"/>
      <c r="Y22" s="44"/>
      <c r="Z22" s="44"/>
      <c r="AA22" s="44"/>
      <c r="AB22" s="44"/>
    </row>
    <row r="23" spans="1:28" s="33" customFormat="1" ht="14.25">
      <c r="A23" s="44" t="s">
        <v>52</v>
      </c>
      <c r="B23" s="38">
        <f t="shared" si="7"/>
        <v>3.84</v>
      </c>
      <c r="C23" s="38">
        <f t="shared" si="8"/>
        <v>90.39</v>
      </c>
      <c r="D23" s="45">
        <f t="shared" si="1"/>
        <v>94.23</v>
      </c>
      <c r="E23" s="46">
        <v>132</v>
      </c>
      <c r="F23" s="46">
        <v>6600</v>
      </c>
      <c r="G23" s="46">
        <v>50</v>
      </c>
      <c r="H23" s="46">
        <v>25000</v>
      </c>
      <c r="I23" s="46">
        <v>3</v>
      </c>
      <c r="J23" s="46">
        <v>5550</v>
      </c>
      <c r="K23" s="46">
        <v>1</v>
      </c>
      <c r="L23" s="46">
        <v>1200</v>
      </c>
      <c r="M23" s="46">
        <v>3008</v>
      </c>
      <c r="N23" s="46">
        <v>379008</v>
      </c>
      <c r="O23" s="46">
        <v>43</v>
      </c>
      <c r="P23" s="46">
        <v>34357</v>
      </c>
      <c r="Q23" s="46">
        <v>1</v>
      </c>
      <c r="R23" s="46">
        <v>788</v>
      </c>
      <c r="S23" s="46">
        <v>2568</v>
      </c>
      <c r="T23" s="46">
        <v>225984</v>
      </c>
      <c r="U23" s="46">
        <v>0</v>
      </c>
      <c r="V23" s="46">
        <v>0</v>
      </c>
      <c r="W23" s="46">
        <v>0</v>
      </c>
      <c r="X23" s="46">
        <v>0</v>
      </c>
      <c r="Y23" s="46">
        <v>3338</v>
      </c>
      <c r="Z23" s="46">
        <v>120168</v>
      </c>
      <c r="AA23" s="46">
        <v>3339</v>
      </c>
      <c r="AB23" s="46">
        <v>143577</v>
      </c>
    </row>
    <row r="24" spans="1:28" s="33" customFormat="1" ht="14.25">
      <c r="A24" s="44" t="s">
        <v>53</v>
      </c>
      <c r="B24" s="38">
        <f t="shared" si="7"/>
        <v>30.67</v>
      </c>
      <c r="C24" s="38">
        <f t="shared" si="8"/>
        <v>191.44</v>
      </c>
      <c r="D24" s="45">
        <f t="shared" si="1"/>
        <v>222.11</v>
      </c>
      <c r="E24" s="46">
        <v>452</v>
      </c>
      <c r="F24" s="46">
        <v>22600</v>
      </c>
      <c r="G24" s="46">
        <v>412</v>
      </c>
      <c r="H24" s="46">
        <v>206000</v>
      </c>
      <c r="I24" s="46">
        <v>37</v>
      </c>
      <c r="J24" s="46">
        <v>68450</v>
      </c>
      <c r="K24" s="46">
        <v>8</v>
      </c>
      <c r="L24" s="46">
        <v>9600</v>
      </c>
      <c r="M24" s="46">
        <v>4280</v>
      </c>
      <c r="N24" s="46">
        <v>539280</v>
      </c>
      <c r="O24" s="46">
        <v>549</v>
      </c>
      <c r="P24" s="46">
        <v>438651</v>
      </c>
      <c r="Q24" s="46">
        <v>10</v>
      </c>
      <c r="R24" s="46">
        <v>7880</v>
      </c>
      <c r="S24" s="46">
        <v>4052</v>
      </c>
      <c r="T24" s="46">
        <v>356576</v>
      </c>
      <c r="U24" s="46">
        <v>1</v>
      </c>
      <c r="V24" s="46">
        <v>194</v>
      </c>
      <c r="W24" s="46">
        <v>2</v>
      </c>
      <c r="X24" s="46">
        <v>1576</v>
      </c>
      <c r="Y24" s="46">
        <v>7274</v>
      </c>
      <c r="Z24" s="46">
        <v>261864</v>
      </c>
      <c r="AA24" s="46">
        <v>7171</v>
      </c>
      <c r="AB24" s="46">
        <v>308353</v>
      </c>
    </row>
    <row r="25" spans="1:28" s="33" customFormat="1" ht="14.25">
      <c r="A25" s="44" t="s">
        <v>54</v>
      </c>
      <c r="B25" s="38">
        <f t="shared" si="7"/>
        <v>14.82</v>
      </c>
      <c r="C25" s="38">
        <f t="shared" si="8"/>
        <v>61.68</v>
      </c>
      <c r="D25" s="45">
        <f t="shared" si="1"/>
        <v>76.5</v>
      </c>
      <c r="E25" s="46">
        <v>983</v>
      </c>
      <c r="F25" s="46">
        <v>49150</v>
      </c>
      <c r="G25" s="46">
        <v>106</v>
      </c>
      <c r="H25" s="46">
        <v>53000</v>
      </c>
      <c r="I25" s="46">
        <v>21</v>
      </c>
      <c r="J25" s="46">
        <v>38850</v>
      </c>
      <c r="K25" s="46">
        <v>6</v>
      </c>
      <c r="L25" s="46">
        <v>7200</v>
      </c>
      <c r="M25" s="46">
        <v>1904</v>
      </c>
      <c r="N25" s="46">
        <v>239904</v>
      </c>
      <c r="O25" s="46">
        <v>18</v>
      </c>
      <c r="P25" s="46">
        <v>14382</v>
      </c>
      <c r="Q25" s="46">
        <v>9</v>
      </c>
      <c r="R25" s="46">
        <v>7092</v>
      </c>
      <c r="S25" s="46">
        <v>1819</v>
      </c>
      <c r="T25" s="46">
        <v>160072</v>
      </c>
      <c r="U25" s="46">
        <v>0</v>
      </c>
      <c r="V25" s="46">
        <v>0</v>
      </c>
      <c r="W25" s="46">
        <v>0</v>
      </c>
      <c r="X25" s="46">
        <v>0</v>
      </c>
      <c r="Y25" s="46">
        <v>2495</v>
      </c>
      <c r="Z25" s="46">
        <v>89820</v>
      </c>
      <c r="AA25" s="46">
        <v>2454</v>
      </c>
      <c r="AB25" s="46">
        <v>105522</v>
      </c>
    </row>
    <row r="26" spans="1:28" s="33" customFormat="1" ht="14.25">
      <c r="A26" s="44" t="s">
        <v>55</v>
      </c>
      <c r="B26" s="38">
        <f t="shared" si="7"/>
        <v>6.42</v>
      </c>
      <c r="C26" s="38">
        <f t="shared" si="8"/>
        <v>86.43</v>
      </c>
      <c r="D26" s="45">
        <f t="shared" si="1"/>
        <v>92.85000000000001</v>
      </c>
      <c r="E26" s="46">
        <v>479</v>
      </c>
      <c r="F26" s="46">
        <v>23950</v>
      </c>
      <c r="G26" s="46">
        <v>46</v>
      </c>
      <c r="H26" s="46">
        <v>23000</v>
      </c>
      <c r="I26" s="46">
        <v>8</v>
      </c>
      <c r="J26" s="46">
        <v>14800</v>
      </c>
      <c r="K26" s="46">
        <v>2</v>
      </c>
      <c r="L26" s="46">
        <v>2400</v>
      </c>
      <c r="M26" s="46">
        <v>2486</v>
      </c>
      <c r="N26" s="46">
        <v>313236</v>
      </c>
      <c r="O26" s="46">
        <v>9</v>
      </c>
      <c r="P26" s="46">
        <v>7191</v>
      </c>
      <c r="Q26" s="46">
        <v>1</v>
      </c>
      <c r="R26" s="46">
        <v>788</v>
      </c>
      <c r="S26" s="46">
        <v>2333</v>
      </c>
      <c r="T26" s="46">
        <v>205304</v>
      </c>
      <c r="U26" s="46">
        <v>0</v>
      </c>
      <c r="V26" s="46">
        <v>0</v>
      </c>
      <c r="W26" s="46">
        <v>1</v>
      </c>
      <c r="X26" s="46">
        <v>788</v>
      </c>
      <c r="Y26" s="46">
        <v>4263</v>
      </c>
      <c r="Z26" s="46">
        <v>153468</v>
      </c>
      <c r="AA26" s="46">
        <v>4268</v>
      </c>
      <c r="AB26" s="46">
        <v>183524</v>
      </c>
    </row>
    <row r="27" spans="1:28" s="33" customFormat="1" ht="14.25">
      <c r="A27" s="44" t="s">
        <v>56</v>
      </c>
      <c r="B27" s="38">
        <f t="shared" si="7"/>
        <v>66.81</v>
      </c>
      <c r="C27" s="38">
        <f t="shared" si="8"/>
        <v>80.1</v>
      </c>
      <c r="D27" s="45">
        <f t="shared" si="1"/>
        <v>146.91</v>
      </c>
      <c r="E27" s="46">
        <v>1540</v>
      </c>
      <c r="F27" s="46">
        <v>77000</v>
      </c>
      <c r="G27" s="46">
        <v>1117</v>
      </c>
      <c r="H27" s="46">
        <v>558500</v>
      </c>
      <c r="I27" s="46">
        <v>15</v>
      </c>
      <c r="J27" s="46">
        <v>27750</v>
      </c>
      <c r="K27" s="46">
        <v>4</v>
      </c>
      <c r="L27" s="46">
        <v>4800</v>
      </c>
      <c r="M27" s="46">
        <v>2173</v>
      </c>
      <c r="N27" s="46">
        <v>273798</v>
      </c>
      <c r="O27" s="46">
        <v>50</v>
      </c>
      <c r="P27" s="46">
        <v>39950</v>
      </c>
      <c r="Q27" s="46">
        <v>2</v>
      </c>
      <c r="R27" s="46">
        <v>1576</v>
      </c>
      <c r="S27" s="46">
        <v>1949</v>
      </c>
      <c r="T27" s="46">
        <v>171512</v>
      </c>
      <c r="U27" s="46">
        <v>0</v>
      </c>
      <c r="V27" s="46">
        <v>0</v>
      </c>
      <c r="W27" s="46">
        <v>0</v>
      </c>
      <c r="X27" s="46">
        <v>0</v>
      </c>
      <c r="Y27" s="46">
        <v>3980</v>
      </c>
      <c r="Z27" s="46">
        <v>143280</v>
      </c>
      <c r="AA27" s="46">
        <v>3972</v>
      </c>
      <c r="AB27" s="46">
        <v>170796</v>
      </c>
    </row>
    <row r="28" spans="1:28" s="33" customFormat="1" ht="14.25">
      <c r="A28" s="44" t="s">
        <v>57</v>
      </c>
      <c r="B28" s="38">
        <f t="shared" si="7"/>
        <v>8.9</v>
      </c>
      <c r="C28" s="38">
        <f t="shared" si="8"/>
        <v>42.24</v>
      </c>
      <c r="D28" s="45">
        <f t="shared" si="1"/>
        <v>51.14</v>
      </c>
      <c r="E28" s="46">
        <v>522</v>
      </c>
      <c r="F28" s="46">
        <v>26100</v>
      </c>
      <c r="G28" s="46">
        <v>74</v>
      </c>
      <c r="H28" s="46">
        <v>37000</v>
      </c>
      <c r="I28" s="46">
        <v>14</v>
      </c>
      <c r="J28" s="46">
        <v>25900</v>
      </c>
      <c r="K28" s="46">
        <v>0</v>
      </c>
      <c r="L28" s="46">
        <v>0</v>
      </c>
      <c r="M28" s="46">
        <v>1198</v>
      </c>
      <c r="N28" s="46">
        <v>150948</v>
      </c>
      <c r="O28" s="46">
        <v>13</v>
      </c>
      <c r="P28" s="46">
        <v>10387</v>
      </c>
      <c r="Q28" s="46">
        <v>2</v>
      </c>
      <c r="R28" s="46">
        <v>1576</v>
      </c>
      <c r="S28" s="46">
        <v>1521</v>
      </c>
      <c r="T28" s="46">
        <v>133848</v>
      </c>
      <c r="U28" s="46">
        <v>3</v>
      </c>
      <c r="V28" s="46">
        <v>582</v>
      </c>
      <c r="W28" s="46">
        <v>1</v>
      </c>
      <c r="X28" s="46">
        <v>788</v>
      </c>
      <c r="Y28" s="46">
        <v>1573</v>
      </c>
      <c r="Z28" s="46">
        <v>56628</v>
      </c>
      <c r="AA28" s="46">
        <v>1572</v>
      </c>
      <c r="AB28" s="46">
        <v>67596</v>
      </c>
    </row>
    <row r="29" spans="1:28" s="33" customFormat="1" ht="14.25">
      <c r="A29" s="44" t="s">
        <v>58</v>
      </c>
      <c r="B29" s="38">
        <f t="shared" si="7"/>
        <v>15.32</v>
      </c>
      <c r="C29" s="38">
        <f t="shared" si="8"/>
        <v>58.77</v>
      </c>
      <c r="D29" s="45">
        <f t="shared" si="1"/>
        <v>74.09</v>
      </c>
      <c r="E29" s="46">
        <v>1338</v>
      </c>
      <c r="F29" s="46">
        <v>66900</v>
      </c>
      <c r="G29" s="46">
        <v>110</v>
      </c>
      <c r="H29" s="46">
        <v>55000</v>
      </c>
      <c r="I29" s="46">
        <v>13</v>
      </c>
      <c r="J29" s="46">
        <v>24050</v>
      </c>
      <c r="K29" s="46">
        <v>6</v>
      </c>
      <c r="L29" s="46">
        <v>7200</v>
      </c>
      <c r="M29" s="46">
        <v>1671</v>
      </c>
      <c r="N29" s="46">
        <v>210546</v>
      </c>
      <c r="O29" s="46">
        <v>53</v>
      </c>
      <c r="P29" s="46">
        <v>42347</v>
      </c>
      <c r="Q29" s="46">
        <v>4</v>
      </c>
      <c r="R29" s="46">
        <v>3152</v>
      </c>
      <c r="S29" s="46">
        <v>1644</v>
      </c>
      <c r="T29" s="46">
        <v>144672</v>
      </c>
      <c r="U29" s="46">
        <v>2</v>
      </c>
      <c r="V29" s="46">
        <v>388</v>
      </c>
      <c r="W29" s="46">
        <v>1</v>
      </c>
      <c r="X29" s="46">
        <v>788</v>
      </c>
      <c r="Y29" s="46">
        <v>2352</v>
      </c>
      <c r="Z29" s="46">
        <v>84672</v>
      </c>
      <c r="AA29" s="46">
        <v>2351</v>
      </c>
      <c r="AB29" s="46">
        <v>101093</v>
      </c>
    </row>
    <row r="30" spans="1:28" s="33" customFormat="1" ht="14.25">
      <c r="A30" s="44" t="s">
        <v>59</v>
      </c>
      <c r="B30" s="38">
        <f t="shared" si="7"/>
        <v>12.43</v>
      </c>
      <c r="C30" s="38">
        <f t="shared" si="8"/>
        <v>85.79</v>
      </c>
      <c r="D30" s="45">
        <f t="shared" si="1"/>
        <v>98.22</v>
      </c>
      <c r="E30" s="46">
        <v>624</v>
      </c>
      <c r="F30" s="46">
        <v>31200</v>
      </c>
      <c r="G30" s="46">
        <v>67</v>
      </c>
      <c r="H30" s="46">
        <v>33500</v>
      </c>
      <c r="I30" s="46">
        <v>27</v>
      </c>
      <c r="J30" s="46">
        <v>49950</v>
      </c>
      <c r="K30" s="46">
        <v>8</v>
      </c>
      <c r="L30" s="46">
        <v>9600</v>
      </c>
      <c r="M30" s="46">
        <v>2813</v>
      </c>
      <c r="N30" s="46">
        <v>354438</v>
      </c>
      <c r="O30" s="46">
        <v>14</v>
      </c>
      <c r="P30" s="46">
        <v>11186</v>
      </c>
      <c r="Q30" s="46">
        <v>5</v>
      </c>
      <c r="R30" s="46">
        <v>3940</v>
      </c>
      <c r="S30" s="46">
        <v>1565</v>
      </c>
      <c r="T30" s="46">
        <v>137720</v>
      </c>
      <c r="U30" s="46">
        <v>11</v>
      </c>
      <c r="V30" s="46">
        <v>2134</v>
      </c>
      <c r="W30" s="46">
        <v>0</v>
      </c>
      <c r="X30" s="46">
        <v>0</v>
      </c>
      <c r="Y30" s="46">
        <v>4403</v>
      </c>
      <c r="Z30" s="46">
        <v>158508</v>
      </c>
      <c r="AA30" s="46">
        <v>4416</v>
      </c>
      <c r="AB30" s="46">
        <v>189888</v>
      </c>
    </row>
    <row r="31" spans="1:28" s="33" customFormat="1" ht="14.25">
      <c r="A31" s="44" t="s">
        <v>60</v>
      </c>
      <c r="B31" s="38">
        <f t="shared" si="7"/>
        <v>15.9</v>
      </c>
      <c r="C31" s="38">
        <f t="shared" si="8"/>
        <v>45.94</v>
      </c>
      <c r="D31" s="45">
        <f t="shared" si="1"/>
        <v>61.839999999999996</v>
      </c>
      <c r="E31" s="46">
        <v>791</v>
      </c>
      <c r="F31" s="46">
        <v>39550</v>
      </c>
      <c r="G31" s="46">
        <v>170</v>
      </c>
      <c r="H31" s="46">
        <v>85000</v>
      </c>
      <c r="I31" s="46">
        <v>16</v>
      </c>
      <c r="J31" s="46">
        <v>29600</v>
      </c>
      <c r="K31" s="46">
        <v>4</v>
      </c>
      <c r="L31" s="46">
        <v>4800</v>
      </c>
      <c r="M31" s="46">
        <v>1404</v>
      </c>
      <c r="N31" s="46">
        <v>176904</v>
      </c>
      <c r="O31" s="46">
        <v>17</v>
      </c>
      <c r="P31" s="46">
        <v>13583</v>
      </c>
      <c r="Q31" s="46">
        <v>0</v>
      </c>
      <c r="R31" s="46">
        <v>0</v>
      </c>
      <c r="S31" s="46">
        <v>1495</v>
      </c>
      <c r="T31" s="46">
        <v>131560</v>
      </c>
      <c r="U31" s="46">
        <v>1</v>
      </c>
      <c r="V31" s="46">
        <v>194</v>
      </c>
      <c r="W31" s="46">
        <v>0</v>
      </c>
      <c r="X31" s="46">
        <v>0</v>
      </c>
      <c r="Y31" s="46">
        <v>1736</v>
      </c>
      <c r="Z31" s="46">
        <v>62496</v>
      </c>
      <c r="AA31" s="46">
        <v>1736</v>
      </c>
      <c r="AB31" s="46">
        <v>74648</v>
      </c>
    </row>
    <row r="32" spans="1:28" s="33" customFormat="1" ht="14.25">
      <c r="A32" s="44" t="s">
        <v>61</v>
      </c>
      <c r="B32" s="38">
        <f t="shared" si="7"/>
        <v>10.66</v>
      </c>
      <c r="C32" s="38">
        <f t="shared" si="8"/>
        <v>46.39</v>
      </c>
      <c r="D32" s="45">
        <f t="shared" si="1"/>
        <v>57.05</v>
      </c>
      <c r="E32" s="46">
        <v>525</v>
      </c>
      <c r="F32" s="46">
        <v>26250</v>
      </c>
      <c r="G32" s="46">
        <v>130</v>
      </c>
      <c r="H32" s="46">
        <v>65000</v>
      </c>
      <c r="I32" s="46">
        <v>7</v>
      </c>
      <c r="J32" s="46">
        <v>12950</v>
      </c>
      <c r="K32" s="46">
        <v>2</v>
      </c>
      <c r="L32" s="46">
        <v>2400</v>
      </c>
      <c r="M32" s="46">
        <v>1334</v>
      </c>
      <c r="N32" s="46">
        <v>168084</v>
      </c>
      <c r="O32" s="46">
        <v>6</v>
      </c>
      <c r="P32" s="46">
        <v>4794</v>
      </c>
      <c r="Q32" s="46">
        <v>0</v>
      </c>
      <c r="R32" s="46">
        <v>0</v>
      </c>
      <c r="S32" s="46">
        <v>1208</v>
      </c>
      <c r="T32" s="46">
        <v>106304</v>
      </c>
      <c r="U32" s="46">
        <v>0</v>
      </c>
      <c r="V32" s="46">
        <v>0</v>
      </c>
      <c r="W32" s="46">
        <v>0</v>
      </c>
      <c r="X32" s="46">
        <v>0</v>
      </c>
      <c r="Y32" s="46">
        <v>2337</v>
      </c>
      <c r="Z32" s="46">
        <v>84132</v>
      </c>
      <c r="AA32" s="46">
        <v>2337</v>
      </c>
      <c r="AB32" s="46">
        <v>100491</v>
      </c>
    </row>
    <row r="33" spans="1:28" s="32" customFormat="1" ht="14.25">
      <c r="A33" s="47" t="s">
        <v>62</v>
      </c>
      <c r="B33" s="43">
        <f>SUM(B34:B40)</f>
        <v>57.980000000000004</v>
      </c>
      <c r="C33" s="43">
        <f>SUM(C34:C40)</f>
        <v>654.76</v>
      </c>
      <c r="D33" s="48">
        <f t="shared" si="1"/>
        <v>712.74</v>
      </c>
      <c r="E33" s="47">
        <f aca="true" t="shared" si="9" ref="D33:AB33">SUM(E34:E36)</f>
        <v>207</v>
      </c>
      <c r="F33" s="47">
        <f t="shared" si="9"/>
        <v>10350</v>
      </c>
      <c r="G33" s="47">
        <f t="shared" si="9"/>
        <v>211</v>
      </c>
      <c r="H33" s="47">
        <f t="shared" si="9"/>
        <v>105500</v>
      </c>
      <c r="I33" s="47">
        <f t="shared" si="9"/>
        <v>11</v>
      </c>
      <c r="J33" s="47">
        <f t="shared" si="9"/>
        <v>20350</v>
      </c>
      <c r="K33" s="47">
        <f t="shared" si="9"/>
        <v>0</v>
      </c>
      <c r="L33" s="47">
        <f t="shared" si="9"/>
        <v>0</v>
      </c>
      <c r="M33" s="47">
        <f t="shared" si="9"/>
        <v>6434</v>
      </c>
      <c r="N33" s="47">
        <f t="shared" si="9"/>
        <v>810684</v>
      </c>
      <c r="O33" s="47">
        <f t="shared" si="9"/>
        <v>71</v>
      </c>
      <c r="P33" s="47">
        <f t="shared" si="9"/>
        <v>56729</v>
      </c>
      <c r="Q33" s="47">
        <f t="shared" si="9"/>
        <v>1</v>
      </c>
      <c r="R33" s="47">
        <f t="shared" si="9"/>
        <v>788</v>
      </c>
      <c r="S33" s="47">
        <f t="shared" si="9"/>
        <v>4835</v>
      </c>
      <c r="T33" s="47">
        <f t="shared" si="9"/>
        <v>425480</v>
      </c>
      <c r="U33" s="47">
        <f t="shared" si="9"/>
        <v>0</v>
      </c>
      <c r="V33" s="47">
        <f t="shared" si="9"/>
        <v>0</v>
      </c>
      <c r="W33" s="47">
        <f t="shared" si="9"/>
        <v>4</v>
      </c>
      <c r="X33" s="47">
        <f t="shared" si="9"/>
        <v>3152</v>
      </c>
      <c r="Y33" s="47">
        <f t="shared" si="9"/>
        <v>11475</v>
      </c>
      <c r="Z33" s="47">
        <f t="shared" si="9"/>
        <v>413100</v>
      </c>
      <c r="AA33" s="47">
        <f t="shared" si="9"/>
        <v>11266</v>
      </c>
      <c r="AB33" s="47">
        <f t="shared" si="9"/>
        <v>484438</v>
      </c>
    </row>
    <row r="34" spans="1:28" s="33" customFormat="1" ht="14.25">
      <c r="A34" s="44" t="s">
        <v>63</v>
      </c>
      <c r="B34" s="38">
        <f aca="true" t="shared" si="10" ref="B34:B40">ROUNDUP((F34+H34+J34+L34)/10000,2)</f>
        <v>0</v>
      </c>
      <c r="C34" s="38">
        <f aca="true" t="shared" si="11" ref="C34:C40">ROUNDUP((N34+P34+R34+T34+V34+X34+Z34+AB34)/10000,2)</f>
        <v>4.89</v>
      </c>
      <c r="D34" s="45">
        <f t="shared" si="1"/>
        <v>4.89</v>
      </c>
      <c r="E34" s="46">
        <v>0</v>
      </c>
      <c r="F34" s="46">
        <v>0</v>
      </c>
      <c r="G34" s="46">
        <v>0</v>
      </c>
      <c r="H34" s="46">
        <v>0</v>
      </c>
      <c r="I34" s="46">
        <v>0</v>
      </c>
      <c r="J34" s="46">
        <v>0</v>
      </c>
      <c r="K34" s="46">
        <v>0</v>
      </c>
      <c r="L34" s="46">
        <v>0</v>
      </c>
      <c r="M34" s="46">
        <v>236</v>
      </c>
      <c r="N34" s="46">
        <v>29736</v>
      </c>
      <c r="O34" s="46">
        <v>8</v>
      </c>
      <c r="P34" s="46">
        <v>6392</v>
      </c>
      <c r="Q34" s="46">
        <v>0</v>
      </c>
      <c r="R34" s="46">
        <v>0</v>
      </c>
      <c r="S34" s="46">
        <v>145</v>
      </c>
      <c r="T34" s="46">
        <v>12760</v>
      </c>
      <c r="U34" s="46">
        <v>0</v>
      </c>
      <c r="V34" s="46">
        <v>0</v>
      </c>
      <c r="W34" s="46">
        <v>0</v>
      </c>
      <c r="X34" s="46">
        <v>0</v>
      </c>
      <c r="Y34" s="46">
        <v>0</v>
      </c>
      <c r="Z34" s="46">
        <v>0</v>
      </c>
      <c r="AA34" s="46">
        <v>0</v>
      </c>
      <c r="AB34" s="46">
        <v>0</v>
      </c>
    </row>
    <row r="35" spans="1:28" s="33" customFormat="1" ht="14.25">
      <c r="A35" s="44" t="s">
        <v>64</v>
      </c>
      <c r="B35" s="38">
        <f t="shared" si="10"/>
        <v>11.58</v>
      </c>
      <c r="C35" s="38">
        <f t="shared" si="11"/>
        <v>154.39</v>
      </c>
      <c r="D35" s="45">
        <f t="shared" si="1"/>
        <v>165.97</v>
      </c>
      <c r="E35" s="46">
        <v>124</v>
      </c>
      <c r="F35" s="46">
        <v>6200</v>
      </c>
      <c r="G35" s="46">
        <v>197</v>
      </c>
      <c r="H35" s="46">
        <v>98500</v>
      </c>
      <c r="I35" s="46">
        <v>6</v>
      </c>
      <c r="J35" s="46">
        <v>11100</v>
      </c>
      <c r="K35" s="46">
        <v>0</v>
      </c>
      <c r="L35" s="46">
        <v>0</v>
      </c>
      <c r="M35" s="46">
        <v>3491</v>
      </c>
      <c r="N35" s="46">
        <v>439866</v>
      </c>
      <c r="O35" s="46">
        <v>24</v>
      </c>
      <c r="P35" s="46">
        <v>19176</v>
      </c>
      <c r="Q35" s="46">
        <v>0</v>
      </c>
      <c r="R35" s="46">
        <v>0</v>
      </c>
      <c r="S35" s="46">
        <v>3022</v>
      </c>
      <c r="T35" s="46">
        <v>265936</v>
      </c>
      <c r="U35" s="46">
        <v>0</v>
      </c>
      <c r="V35" s="46">
        <v>0</v>
      </c>
      <c r="W35" s="46">
        <v>2</v>
      </c>
      <c r="X35" s="46">
        <v>1576</v>
      </c>
      <c r="Y35" s="46">
        <v>10346</v>
      </c>
      <c r="Z35" s="46">
        <v>372456</v>
      </c>
      <c r="AA35" s="46">
        <v>10346</v>
      </c>
      <c r="AB35" s="46">
        <v>444878</v>
      </c>
    </row>
    <row r="36" spans="1:28" s="33" customFormat="1" ht="14.25">
      <c r="A36" s="44" t="s">
        <v>65</v>
      </c>
      <c r="B36" s="38">
        <f t="shared" si="10"/>
        <v>2.04</v>
      </c>
      <c r="C36" s="38">
        <f t="shared" si="11"/>
        <v>60.16</v>
      </c>
      <c r="D36" s="45">
        <f t="shared" si="1"/>
        <v>62.199999999999996</v>
      </c>
      <c r="E36" s="46">
        <v>83</v>
      </c>
      <c r="F36" s="46">
        <v>4150</v>
      </c>
      <c r="G36" s="46">
        <v>14</v>
      </c>
      <c r="H36" s="46">
        <v>7000</v>
      </c>
      <c r="I36" s="46">
        <v>5</v>
      </c>
      <c r="J36" s="46">
        <v>9250</v>
      </c>
      <c r="K36" s="46">
        <v>0</v>
      </c>
      <c r="L36" s="46">
        <v>0</v>
      </c>
      <c r="M36" s="46">
        <v>2707</v>
      </c>
      <c r="N36" s="46">
        <v>341082</v>
      </c>
      <c r="O36" s="46">
        <v>39</v>
      </c>
      <c r="P36" s="46">
        <v>31161</v>
      </c>
      <c r="Q36" s="46">
        <v>1</v>
      </c>
      <c r="R36" s="46">
        <v>788</v>
      </c>
      <c r="S36" s="46">
        <v>1668</v>
      </c>
      <c r="T36" s="46">
        <v>146784</v>
      </c>
      <c r="U36" s="46">
        <v>0</v>
      </c>
      <c r="V36" s="46">
        <v>0</v>
      </c>
      <c r="W36" s="46">
        <v>2</v>
      </c>
      <c r="X36" s="46">
        <v>1576</v>
      </c>
      <c r="Y36" s="46">
        <v>1129</v>
      </c>
      <c r="Z36" s="46">
        <v>40644</v>
      </c>
      <c r="AA36" s="46">
        <v>920</v>
      </c>
      <c r="AB36" s="46">
        <v>39560</v>
      </c>
    </row>
    <row r="37" spans="1:28" s="33" customFormat="1" ht="14.25">
      <c r="A37" s="44" t="s">
        <v>66</v>
      </c>
      <c r="B37" s="38">
        <f t="shared" si="10"/>
        <v>16.7</v>
      </c>
      <c r="C37" s="38">
        <f t="shared" si="11"/>
        <v>92.76</v>
      </c>
      <c r="D37" s="45">
        <f t="shared" si="1"/>
        <v>109.46000000000001</v>
      </c>
      <c r="E37" s="46">
        <v>405</v>
      </c>
      <c r="F37" s="46">
        <v>20250</v>
      </c>
      <c r="G37" s="46">
        <v>217</v>
      </c>
      <c r="H37" s="46">
        <v>108500</v>
      </c>
      <c r="I37" s="46">
        <v>20</v>
      </c>
      <c r="J37" s="46">
        <v>37000</v>
      </c>
      <c r="K37" s="46">
        <v>1</v>
      </c>
      <c r="L37" s="46">
        <v>1200</v>
      </c>
      <c r="M37" s="46">
        <v>2940</v>
      </c>
      <c r="N37" s="46">
        <v>370440</v>
      </c>
      <c r="O37" s="46">
        <v>10</v>
      </c>
      <c r="P37" s="46">
        <v>7990</v>
      </c>
      <c r="Q37" s="46">
        <v>0</v>
      </c>
      <c r="R37" s="46">
        <v>0</v>
      </c>
      <c r="S37" s="46">
        <v>2374</v>
      </c>
      <c r="T37" s="46">
        <v>208912</v>
      </c>
      <c r="U37" s="46">
        <v>0</v>
      </c>
      <c r="V37" s="46">
        <v>0</v>
      </c>
      <c r="W37" s="46">
        <v>0</v>
      </c>
      <c r="X37" s="46">
        <v>0</v>
      </c>
      <c r="Y37" s="46">
        <v>4305</v>
      </c>
      <c r="Z37" s="46">
        <v>154980</v>
      </c>
      <c r="AA37" s="46">
        <v>4308</v>
      </c>
      <c r="AB37" s="46">
        <v>185244</v>
      </c>
    </row>
    <row r="38" spans="1:28" s="33" customFormat="1" ht="14.25">
      <c r="A38" s="44" t="s">
        <v>67</v>
      </c>
      <c r="B38" s="38">
        <f t="shared" si="10"/>
        <v>16.93</v>
      </c>
      <c r="C38" s="38">
        <f t="shared" si="11"/>
        <v>148.5</v>
      </c>
      <c r="D38" s="45">
        <f t="shared" si="1"/>
        <v>165.43</v>
      </c>
      <c r="E38" s="46">
        <v>464</v>
      </c>
      <c r="F38" s="46">
        <v>23200</v>
      </c>
      <c r="G38" s="46">
        <v>136</v>
      </c>
      <c r="H38" s="46">
        <v>68000</v>
      </c>
      <c r="I38" s="46">
        <v>37</v>
      </c>
      <c r="J38" s="46">
        <v>68450</v>
      </c>
      <c r="K38" s="46">
        <v>8</v>
      </c>
      <c r="L38" s="46">
        <v>9600</v>
      </c>
      <c r="M38" s="46">
        <v>3971</v>
      </c>
      <c r="N38" s="46">
        <v>500346</v>
      </c>
      <c r="O38" s="46">
        <v>31</v>
      </c>
      <c r="P38" s="46">
        <v>24769</v>
      </c>
      <c r="Q38" s="46">
        <v>10</v>
      </c>
      <c r="R38" s="46">
        <v>7880</v>
      </c>
      <c r="S38" s="46">
        <v>4476</v>
      </c>
      <c r="T38" s="46">
        <v>393888</v>
      </c>
      <c r="U38" s="46">
        <v>10</v>
      </c>
      <c r="V38" s="46">
        <v>1940</v>
      </c>
      <c r="W38" s="46">
        <v>6</v>
      </c>
      <c r="X38" s="46">
        <v>4728</v>
      </c>
      <c r="Y38" s="46">
        <v>7182</v>
      </c>
      <c r="Z38" s="46">
        <v>258552</v>
      </c>
      <c r="AA38" s="46">
        <v>6811</v>
      </c>
      <c r="AB38" s="46">
        <v>292873</v>
      </c>
    </row>
    <row r="39" spans="1:28" s="33" customFormat="1" ht="14.25">
      <c r="A39" s="44" t="s">
        <v>68</v>
      </c>
      <c r="B39" s="38">
        <f t="shared" si="10"/>
        <v>7.13</v>
      </c>
      <c r="C39" s="38">
        <f t="shared" si="11"/>
        <v>126.7</v>
      </c>
      <c r="D39" s="45">
        <f t="shared" si="1"/>
        <v>133.83</v>
      </c>
      <c r="E39" s="46">
        <v>585</v>
      </c>
      <c r="F39" s="46">
        <v>29250</v>
      </c>
      <c r="G39" s="46">
        <v>62</v>
      </c>
      <c r="H39" s="46">
        <v>31000</v>
      </c>
      <c r="I39" s="46">
        <v>4</v>
      </c>
      <c r="J39" s="46">
        <v>7400</v>
      </c>
      <c r="K39" s="46">
        <v>3</v>
      </c>
      <c r="L39" s="46">
        <v>3600</v>
      </c>
      <c r="M39" s="46">
        <v>3643</v>
      </c>
      <c r="N39" s="46">
        <v>459018</v>
      </c>
      <c r="O39" s="46">
        <v>18</v>
      </c>
      <c r="P39" s="46">
        <v>14382</v>
      </c>
      <c r="Q39" s="46">
        <v>0</v>
      </c>
      <c r="R39" s="46">
        <v>0</v>
      </c>
      <c r="S39" s="46">
        <v>3766</v>
      </c>
      <c r="T39" s="46">
        <v>331408</v>
      </c>
      <c r="U39" s="46">
        <v>1</v>
      </c>
      <c r="V39" s="46">
        <v>194</v>
      </c>
      <c r="W39" s="46">
        <v>0</v>
      </c>
      <c r="X39" s="46">
        <v>0</v>
      </c>
      <c r="Y39" s="46">
        <v>6013</v>
      </c>
      <c r="Z39" s="46">
        <v>216468</v>
      </c>
      <c r="AA39" s="46">
        <v>5710</v>
      </c>
      <c r="AB39" s="46">
        <v>245530</v>
      </c>
    </row>
    <row r="40" spans="1:28" s="33" customFormat="1" ht="14.25">
      <c r="A40" s="44" t="s">
        <v>69</v>
      </c>
      <c r="B40" s="38">
        <f t="shared" si="10"/>
        <v>3.6</v>
      </c>
      <c r="C40" s="38">
        <f t="shared" si="11"/>
        <v>67.36</v>
      </c>
      <c r="D40" s="45">
        <f t="shared" si="1"/>
        <v>70.96</v>
      </c>
      <c r="E40" s="46">
        <v>659</v>
      </c>
      <c r="F40" s="46">
        <v>32950</v>
      </c>
      <c r="G40" s="46">
        <v>0</v>
      </c>
      <c r="H40" s="46">
        <v>0</v>
      </c>
      <c r="I40" s="46">
        <v>1</v>
      </c>
      <c r="J40" s="46">
        <v>1850</v>
      </c>
      <c r="K40" s="46">
        <v>1</v>
      </c>
      <c r="L40" s="46">
        <v>1200</v>
      </c>
      <c r="M40" s="46">
        <v>2505</v>
      </c>
      <c r="N40" s="46">
        <v>315630</v>
      </c>
      <c r="O40" s="46">
        <v>11</v>
      </c>
      <c r="P40" s="46">
        <v>8789</v>
      </c>
      <c r="Q40" s="46">
        <v>3</v>
      </c>
      <c r="R40" s="46">
        <v>2364</v>
      </c>
      <c r="S40" s="46">
        <v>1828</v>
      </c>
      <c r="T40" s="46">
        <v>160864</v>
      </c>
      <c r="U40" s="46">
        <v>1</v>
      </c>
      <c r="V40" s="46">
        <v>194</v>
      </c>
      <c r="W40" s="46">
        <v>3</v>
      </c>
      <c r="X40" s="46">
        <v>2364</v>
      </c>
      <c r="Y40" s="46">
        <v>2331</v>
      </c>
      <c r="Z40" s="46">
        <v>83916</v>
      </c>
      <c r="AA40" s="46">
        <v>2312</v>
      </c>
      <c r="AB40" s="46">
        <v>99416</v>
      </c>
    </row>
    <row r="41" spans="1:28" s="32" customFormat="1" ht="14.25">
      <c r="A41" s="47" t="s">
        <v>70</v>
      </c>
      <c r="B41" s="43">
        <f>SUM(B42:B50)</f>
        <v>214.20000000000002</v>
      </c>
      <c r="C41" s="43">
        <f>SUM(C42:C50)</f>
        <v>915.3</v>
      </c>
      <c r="D41" s="48">
        <f t="shared" si="1"/>
        <v>1129.5</v>
      </c>
      <c r="E41" s="47">
        <f aca="true" t="shared" si="12" ref="D41:AB41">SUM(E43:E47)</f>
        <v>6287</v>
      </c>
      <c r="F41" s="47">
        <f t="shared" si="12"/>
        <v>314350</v>
      </c>
      <c r="G41" s="47">
        <f t="shared" si="12"/>
        <v>1059</v>
      </c>
      <c r="H41" s="47">
        <f t="shared" si="12"/>
        <v>529500</v>
      </c>
      <c r="I41" s="47">
        <f t="shared" si="12"/>
        <v>153</v>
      </c>
      <c r="J41" s="47">
        <f t="shared" si="12"/>
        <v>283050</v>
      </c>
      <c r="K41" s="47">
        <f t="shared" si="12"/>
        <v>29</v>
      </c>
      <c r="L41" s="47">
        <f t="shared" si="12"/>
        <v>34800</v>
      </c>
      <c r="M41" s="47">
        <f t="shared" si="12"/>
        <v>14081</v>
      </c>
      <c r="N41" s="47">
        <f t="shared" si="12"/>
        <v>1774206</v>
      </c>
      <c r="O41" s="47">
        <f t="shared" si="12"/>
        <v>419</v>
      </c>
      <c r="P41" s="47">
        <f t="shared" si="12"/>
        <v>334781</v>
      </c>
      <c r="Q41" s="47">
        <f t="shared" si="12"/>
        <v>13</v>
      </c>
      <c r="R41" s="47">
        <f t="shared" si="12"/>
        <v>10244</v>
      </c>
      <c r="S41" s="47">
        <f t="shared" si="12"/>
        <v>14484</v>
      </c>
      <c r="T41" s="47">
        <f t="shared" si="12"/>
        <v>1274592</v>
      </c>
      <c r="U41" s="47">
        <f t="shared" si="12"/>
        <v>43</v>
      </c>
      <c r="V41" s="47">
        <f t="shared" si="12"/>
        <v>8342</v>
      </c>
      <c r="W41" s="47">
        <f t="shared" si="12"/>
        <v>25</v>
      </c>
      <c r="X41" s="47">
        <f t="shared" si="12"/>
        <v>19700</v>
      </c>
      <c r="Y41" s="47">
        <f t="shared" si="12"/>
        <v>23548</v>
      </c>
      <c r="Z41" s="47">
        <f t="shared" si="12"/>
        <v>847728</v>
      </c>
      <c r="AA41" s="47">
        <f t="shared" si="12"/>
        <v>23314</v>
      </c>
      <c r="AB41" s="47">
        <f t="shared" si="12"/>
        <v>1002502</v>
      </c>
    </row>
    <row r="42" spans="1:28" s="33" customFormat="1" ht="14.25">
      <c r="A42" s="44" t="s">
        <v>71</v>
      </c>
      <c r="B42" s="38">
        <f aca="true" t="shared" si="13" ref="B42:B50">ROUNDUP((F42+H42+J42+L42)/10000,2)</f>
        <v>0</v>
      </c>
      <c r="C42" s="38">
        <f aca="true" t="shared" si="14" ref="C42:C50">ROUNDUP((N42+P42+R42+T42+V42+X42+Z42+AB42)/10000,2)</f>
        <v>0</v>
      </c>
      <c r="D42" s="45">
        <f t="shared" si="1"/>
        <v>0</v>
      </c>
      <c r="E42" s="46"/>
      <c r="F42" s="46"/>
      <c r="G42" s="46"/>
      <c r="H42" s="46"/>
      <c r="I42" s="46"/>
      <c r="J42" s="46"/>
      <c r="K42" s="46"/>
      <c r="L42" s="46"/>
      <c r="M42" s="46"/>
      <c r="N42" s="46"/>
      <c r="O42" s="46"/>
      <c r="P42" s="46"/>
      <c r="Q42" s="46"/>
      <c r="R42" s="46"/>
      <c r="S42" s="46"/>
      <c r="T42" s="46"/>
      <c r="U42" s="46"/>
      <c r="V42" s="46"/>
      <c r="W42" s="46"/>
      <c r="X42" s="46"/>
      <c r="Y42" s="46"/>
      <c r="Z42" s="46"/>
      <c r="AA42" s="46"/>
      <c r="AB42" s="46"/>
    </row>
    <row r="43" spans="1:28" s="33" customFormat="1" ht="14.25">
      <c r="A43" s="44" t="s">
        <v>72</v>
      </c>
      <c r="B43" s="38">
        <f t="shared" si="13"/>
        <v>14.31</v>
      </c>
      <c r="C43" s="38">
        <f t="shared" si="14"/>
        <v>81.21</v>
      </c>
      <c r="D43" s="45">
        <f t="shared" si="1"/>
        <v>95.52</v>
      </c>
      <c r="E43" s="46">
        <v>620</v>
      </c>
      <c r="F43" s="46">
        <v>31000</v>
      </c>
      <c r="G43" s="46">
        <v>122</v>
      </c>
      <c r="H43" s="46">
        <v>61000</v>
      </c>
      <c r="I43" s="46">
        <v>25</v>
      </c>
      <c r="J43" s="46">
        <v>46250</v>
      </c>
      <c r="K43" s="46">
        <v>4</v>
      </c>
      <c r="L43" s="46">
        <v>4800</v>
      </c>
      <c r="M43" s="46">
        <v>2096</v>
      </c>
      <c r="N43" s="46">
        <v>264096</v>
      </c>
      <c r="O43" s="46">
        <v>86</v>
      </c>
      <c r="P43" s="46">
        <v>68714</v>
      </c>
      <c r="Q43" s="46">
        <v>4</v>
      </c>
      <c r="R43" s="46">
        <v>3152</v>
      </c>
      <c r="S43" s="46">
        <v>2255</v>
      </c>
      <c r="T43" s="46">
        <v>198440</v>
      </c>
      <c r="U43" s="46">
        <v>2</v>
      </c>
      <c r="V43" s="46">
        <v>388</v>
      </c>
      <c r="W43" s="46">
        <v>6</v>
      </c>
      <c r="X43" s="46">
        <v>4728</v>
      </c>
      <c r="Y43" s="46">
        <v>3415</v>
      </c>
      <c r="Z43" s="46">
        <v>122940</v>
      </c>
      <c r="AA43" s="46">
        <v>3479</v>
      </c>
      <c r="AB43" s="46">
        <v>149597</v>
      </c>
    </row>
    <row r="44" spans="1:28" s="33" customFormat="1" ht="14.25">
      <c r="A44" s="44" t="s">
        <v>73</v>
      </c>
      <c r="B44" s="38">
        <f t="shared" si="13"/>
        <v>49.3</v>
      </c>
      <c r="C44" s="38">
        <f t="shared" si="14"/>
        <v>173.43</v>
      </c>
      <c r="D44" s="45">
        <f t="shared" si="1"/>
        <v>222.73000000000002</v>
      </c>
      <c r="E44" s="46">
        <v>3022</v>
      </c>
      <c r="F44" s="46">
        <v>151100</v>
      </c>
      <c r="G44" s="46">
        <v>514</v>
      </c>
      <c r="H44" s="46">
        <v>257000</v>
      </c>
      <c r="I44" s="46">
        <v>42</v>
      </c>
      <c r="J44" s="46">
        <v>77700</v>
      </c>
      <c r="K44" s="46">
        <v>6</v>
      </c>
      <c r="L44" s="46">
        <v>7200</v>
      </c>
      <c r="M44" s="46">
        <v>4172</v>
      </c>
      <c r="N44" s="46">
        <v>525672</v>
      </c>
      <c r="O44" s="46">
        <v>118</v>
      </c>
      <c r="P44" s="46">
        <v>94282</v>
      </c>
      <c r="Q44" s="46">
        <v>3</v>
      </c>
      <c r="R44" s="46">
        <v>2364</v>
      </c>
      <c r="S44" s="46">
        <v>4568</v>
      </c>
      <c r="T44" s="46">
        <v>401984</v>
      </c>
      <c r="U44" s="46">
        <v>13</v>
      </c>
      <c r="V44" s="46">
        <v>2522</v>
      </c>
      <c r="W44" s="46">
        <v>3</v>
      </c>
      <c r="X44" s="46">
        <v>2364</v>
      </c>
      <c r="Y44" s="46">
        <v>9101</v>
      </c>
      <c r="Z44" s="46">
        <v>327636</v>
      </c>
      <c r="AA44" s="46">
        <v>8778</v>
      </c>
      <c r="AB44" s="46">
        <v>377454</v>
      </c>
    </row>
    <row r="45" spans="1:28" s="33" customFormat="1" ht="14.25">
      <c r="A45" s="44" t="s">
        <v>74</v>
      </c>
      <c r="B45" s="38">
        <f t="shared" si="13"/>
        <v>33.67</v>
      </c>
      <c r="C45" s="38">
        <f t="shared" si="14"/>
        <v>179.79</v>
      </c>
      <c r="D45" s="45">
        <f t="shared" si="1"/>
        <v>213.45999999999998</v>
      </c>
      <c r="E45" s="46">
        <v>1507</v>
      </c>
      <c r="F45" s="46">
        <v>75350</v>
      </c>
      <c r="G45" s="46">
        <v>277</v>
      </c>
      <c r="H45" s="46">
        <v>138500</v>
      </c>
      <c r="I45" s="46">
        <v>56</v>
      </c>
      <c r="J45" s="46">
        <v>103600</v>
      </c>
      <c r="K45" s="46">
        <v>16</v>
      </c>
      <c r="L45" s="46">
        <v>19200</v>
      </c>
      <c r="M45" s="46">
        <v>5308</v>
      </c>
      <c r="N45" s="46">
        <v>668808</v>
      </c>
      <c r="O45" s="46">
        <v>127</v>
      </c>
      <c r="P45" s="46">
        <v>101473</v>
      </c>
      <c r="Q45" s="46">
        <v>4</v>
      </c>
      <c r="R45" s="46">
        <v>3152</v>
      </c>
      <c r="S45" s="46">
        <v>5567</v>
      </c>
      <c r="T45" s="46">
        <v>489896</v>
      </c>
      <c r="U45" s="46">
        <v>27</v>
      </c>
      <c r="V45" s="46">
        <v>5238</v>
      </c>
      <c r="W45" s="46">
        <v>13</v>
      </c>
      <c r="X45" s="46">
        <v>10244</v>
      </c>
      <c r="Y45" s="46">
        <v>6585</v>
      </c>
      <c r="Z45" s="46">
        <v>237060</v>
      </c>
      <c r="AA45" s="46">
        <v>6557</v>
      </c>
      <c r="AB45" s="46">
        <v>281951</v>
      </c>
    </row>
    <row r="46" spans="1:28" s="33" customFormat="1" ht="14.25">
      <c r="A46" s="44" t="s">
        <v>75</v>
      </c>
      <c r="B46" s="38">
        <f t="shared" si="13"/>
        <v>10.56</v>
      </c>
      <c r="C46" s="38">
        <f t="shared" si="14"/>
        <v>46.41</v>
      </c>
      <c r="D46" s="45">
        <f t="shared" si="1"/>
        <v>56.97</v>
      </c>
      <c r="E46" s="46">
        <v>654</v>
      </c>
      <c r="F46" s="46">
        <v>32700</v>
      </c>
      <c r="G46" s="46">
        <v>94</v>
      </c>
      <c r="H46" s="46">
        <v>47000</v>
      </c>
      <c r="I46" s="46">
        <v>14</v>
      </c>
      <c r="J46" s="46">
        <v>25900</v>
      </c>
      <c r="K46" s="46">
        <v>0</v>
      </c>
      <c r="L46" s="46">
        <v>0</v>
      </c>
      <c r="M46" s="46">
        <v>1273</v>
      </c>
      <c r="N46" s="46">
        <v>160398</v>
      </c>
      <c r="O46" s="46">
        <v>30</v>
      </c>
      <c r="P46" s="46">
        <v>23970</v>
      </c>
      <c r="Q46" s="46">
        <v>2</v>
      </c>
      <c r="R46" s="46">
        <v>1576</v>
      </c>
      <c r="S46" s="46">
        <v>1068</v>
      </c>
      <c r="T46" s="46">
        <v>93984</v>
      </c>
      <c r="U46" s="46">
        <v>0</v>
      </c>
      <c r="V46" s="46">
        <v>0</v>
      </c>
      <c r="W46" s="46">
        <v>2</v>
      </c>
      <c r="X46" s="46">
        <v>1576</v>
      </c>
      <c r="Y46" s="46">
        <v>2282</v>
      </c>
      <c r="Z46" s="46">
        <v>82152</v>
      </c>
      <c r="AA46" s="46">
        <v>2334</v>
      </c>
      <c r="AB46" s="46">
        <v>100362</v>
      </c>
    </row>
    <row r="47" spans="1:28" s="33" customFormat="1" ht="14.25">
      <c r="A47" s="44" t="s">
        <v>76</v>
      </c>
      <c r="B47" s="38">
        <f t="shared" si="13"/>
        <v>8.34</v>
      </c>
      <c r="C47" s="38">
        <f t="shared" si="14"/>
        <v>46.4</v>
      </c>
      <c r="D47" s="45">
        <f t="shared" si="1"/>
        <v>54.739999999999995</v>
      </c>
      <c r="E47" s="46">
        <v>484</v>
      </c>
      <c r="F47" s="46">
        <v>24200</v>
      </c>
      <c r="G47" s="46">
        <v>52</v>
      </c>
      <c r="H47" s="46">
        <v>26000</v>
      </c>
      <c r="I47" s="46">
        <v>16</v>
      </c>
      <c r="J47" s="46">
        <v>29600</v>
      </c>
      <c r="K47" s="46">
        <v>3</v>
      </c>
      <c r="L47" s="46">
        <v>3600</v>
      </c>
      <c r="M47" s="46">
        <v>1232</v>
      </c>
      <c r="N47" s="46">
        <v>155232</v>
      </c>
      <c r="O47" s="46">
        <v>58</v>
      </c>
      <c r="P47" s="46">
        <v>46342</v>
      </c>
      <c r="Q47" s="46">
        <v>0</v>
      </c>
      <c r="R47" s="46">
        <v>0</v>
      </c>
      <c r="S47" s="46">
        <v>1026</v>
      </c>
      <c r="T47" s="46">
        <v>90288</v>
      </c>
      <c r="U47" s="46">
        <v>1</v>
      </c>
      <c r="V47" s="46">
        <v>194</v>
      </c>
      <c r="W47" s="46">
        <v>1</v>
      </c>
      <c r="X47" s="46">
        <v>788</v>
      </c>
      <c r="Y47" s="46">
        <v>2165</v>
      </c>
      <c r="Z47" s="46">
        <v>77940</v>
      </c>
      <c r="AA47" s="46">
        <v>2166</v>
      </c>
      <c r="AB47" s="46">
        <v>93138</v>
      </c>
    </row>
    <row r="48" spans="1:28" s="33" customFormat="1" ht="14.25">
      <c r="A48" s="44" t="s">
        <v>77</v>
      </c>
      <c r="B48" s="38">
        <f t="shared" si="13"/>
        <v>12.16</v>
      </c>
      <c r="C48" s="38">
        <f t="shared" si="14"/>
        <v>64.25</v>
      </c>
      <c r="D48" s="45">
        <f t="shared" si="1"/>
        <v>76.41</v>
      </c>
      <c r="E48" s="46">
        <v>666</v>
      </c>
      <c r="F48" s="46">
        <v>33300</v>
      </c>
      <c r="G48" s="46">
        <v>98</v>
      </c>
      <c r="H48" s="46">
        <v>49000</v>
      </c>
      <c r="I48" s="46">
        <v>18</v>
      </c>
      <c r="J48" s="46">
        <v>33300</v>
      </c>
      <c r="K48" s="46">
        <v>5</v>
      </c>
      <c r="L48" s="46">
        <v>6000</v>
      </c>
      <c r="M48" s="46">
        <v>1670</v>
      </c>
      <c r="N48" s="46">
        <v>210420</v>
      </c>
      <c r="O48" s="46">
        <v>43</v>
      </c>
      <c r="P48" s="46">
        <v>34357</v>
      </c>
      <c r="Q48" s="46">
        <v>4</v>
      </c>
      <c r="R48" s="46">
        <v>3152</v>
      </c>
      <c r="S48" s="46">
        <v>1595</v>
      </c>
      <c r="T48" s="46">
        <v>140360</v>
      </c>
      <c r="U48" s="46">
        <v>3</v>
      </c>
      <c r="V48" s="46">
        <v>582</v>
      </c>
      <c r="W48" s="46">
        <v>4</v>
      </c>
      <c r="X48" s="46">
        <v>3152</v>
      </c>
      <c r="Y48" s="46">
        <v>3166</v>
      </c>
      <c r="Z48" s="46">
        <v>113976</v>
      </c>
      <c r="AA48" s="46">
        <v>3174</v>
      </c>
      <c r="AB48" s="46">
        <v>136482</v>
      </c>
    </row>
    <row r="49" spans="1:28" s="33" customFormat="1" ht="14.25">
      <c r="A49" s="44" t="s">
        <v>78</v>
      </c>
      <c r="B49" s="38">
        <f t="shared" si="13"/>
        <v>23.74</v>
      </c>
      <c r="C49" s="38">
        <f t="shared" si="14"/>
        <v>103.34</v>
      </c>
      <c r="D49" s="45">
        <f t="shared" si="1"/>
        <v>127.08</v>
      </c>
      <c r="E49" s="46">
        <v>1792</v>
      </c>
      <c r="F49" s="46">
        <v>89600</v>
      </c>
      <c r="G49" s="46">
        <v>234</v>
      </c>
      <c r="H49" s="46">
        <v>117000</v>
      </c>
      <c r="I49" s="46">
        <v>16</v>
      </c>
      <c r="J49" s="46">
        <v>29600</v>
      </c>
      <c r="K49" s="46">
        <v>1</v>
      </c>
      <c r="L49" s="46">
        <v>1200</v>
      </c>
      <c r="M49" s="46">
        <v>3242</v>
      </c>
      <c r="N49" s="46">
        <v>408492</v>
      </c>
      <c r="O49" s="46">
        <v>56</v>
      </c>
      <c r="P49" s="46">
        <v>44744</v>
      </c>
      <c r="Q49" s="46">
        <v>4</v>
      </c>
      <c r="R49" s="46">
        <v>3152</v>
      </c>
      <c r="S49" s="46">
        <v>1896</v>
      </c>
      <c r="T49" s="46">
        <v>166848</v>
      </c>
      <c r="U49" s="46">
        <v>14</v>
      </c>
      <c r="V49" s="46">
        <v>2716</v>
      </c>
      <c r="W49" s="46">
        <v>0</v>
      </c>
      <c r="X49" s="46">
        <v>0</v>
      </c>
      <c r="Y49" s="46">
        <v>5242</v>
      </c>
      <c r="Z49" s="46">
        <v>188712</v>
      </c>
      <c r="AA49" s="46">
        <v>5086</v>
      </c>
      <c r="AB49" s="46">
        <v>218698</v>
      </c>
    </row>
    <row r="50" spans="1:28" s="33" customFormat="1" ht="14.25">
      <c r="A50" s="44" t="s">
        <v>79</v>
      </c>
      <c r="B50" s="38">
        <f t="shared" si="13"/>
        <v>62.12</v>
      </c>
      <c r="C50" s="38">
        <f t="shared" si="14"/>
        <v>220.47</v>
      </c>
      <c r="D50" s="45">
        <f t="shared" si="1"/>
        <v>282.59</v>
      </c>
      <c r="E50" s="46">
        <v>5518</v>
      </c>
      <c r="F50" s="46">
        <v>275900</v>
      </c>
      <c r="G50" s="46">
        <v>516</v>
      </c>
      <c r="H50" s="46">
        <v>258000</v>
      </c>
      <c r="I50" s="46">
        <v>42</v>
      </c>
      <c r="J50" s="46">
        <v>77700</v>
      </c>
      <c r="K50" s="46">
        <v>8</v>
      </c>
      <c r="L50" s="46">
        <v>9600</v>
      </c>
      <c r="M50" s="46">
        <v>5757</v>
      </c>
      <c r="N50" s="46">
        <v>725382</v>
      </c>
      <c r="O50" s="46">
        <v>26</v>
      </c>
      <c r="P50" s="46">
        <v>20774</v>
      </c>
      <c r="Q50" s="46">
        <v>4</v>
      </c>
      <c r="R50" s="46">
        <v>3152</v>
      </c>
      <c r="S50" s="46">
        <v>5802</v>
      </c>
      <c r="T50" s="46">
        <v>510576</v>
      </c>
      <c r="U50" s="46">
        <v>189</v>
      </c>
      <c r="V50" s="46">
        <v>36666</v>
      </c>
      <c r="W50" s="46">
        <v>4</v>
      </c>
      <c r="X50" s="46">
        <v>3152</v>
      </c>
      <c r="Y50" s="46">
        <v>12039</v>
      </c>
      <c r="Z50" s="46">
        <v>433404</v>
      </c>
      <c r="AA50" s="46">
        <v>10966</v>
      </c>
      <c r="AB50" s="46">
        <v>471538</v>
      </c>
    </row>
    <row r="51" spans="1:28" s="32" customFormat="1" ht="14.25">
      <c r="A51" s="47" t="s">
        <v>80</v>
      </c>
      <c r="B51" s="43">
        <f>SUM(B52:B57)</f>
        <v>544.3199999999999</v>
      </c>
      <c r="C51" s="43">
        <f>SUM(C52:C57)</f>
        <v>1441.0300000000002</v>
      </c>
      <c r="D51" s="48">
        <f t="shared" si="1"/>
        <v>1985.3500000000001</v>
      </c>
      <c r="E51" s="47">
        <f aca="true" t="shared" si="15" ref="D51:AB51">SUM(E53:E57)</f>
        <v>17137</v>
      </c>
      <c r="F51" s="47">
        <f t="shared" si="15"/>
        <v>856850</v>
      </c>
      <c r="G51" s="47">
        <f t="shared" si="15"/>
        <v>7544</v>
      </c>
      <c r="H51" s="47">
        <f t="shared" si="15"/>
        <v>3772000</v>
      </c>
      <c r="I51" s="47">
        <f t="shared" si="15"/>
        <v>308</v>
      </c>
      <c r="J51" s="47">
        <f t="shared" si="15"/>
        <v>569800</v>
      </c>
      <c r="K51" s="47">
        <f t="shared" si="15"/>
        <v>23</v>
      </c>
      <c r="L51" s="47">
        <f t="shared" si="15"/>
        <v>27600</v>
      </c>
      <c r="M51" s="47">
        <f t="shared" si="15"/>
        <v>41830</v>
      </c>
      <c r="N51" s="47">
        <f t="shared" si="15"/>
        <v>5270580</v>
      </c>
      <c r="O51" s="47">
        <f t="shared" si="15"/>
        <v>829</v>
      </c>
      <c r="P51" s="47">
        <f t="shared" si="15"/>
        <v>662371</v>
      </c>
      <c r="Q51" s="47">
        <f t="shared" si="15"/>
        <v>13</v>
      </c>
      <c r="R51" s="47">
        <f t="shared" si="15"/>
        <v>10244</v>
      </c>
      <c r="S51" s="47">
        <f t="shared" si="15"/>
        <v>36569</v>
      </c>
      <c r="T51" s="47">
        <f t="shared" si="15"/>
        <v>3218072</v>
      </c>
      <c r="U51" s="47">
        <f t="shared" si="15"/>
        <v>139</v>
      </c>
      <c r="V51" s="47">
        <f t="shared" si="15"/>
        <v>26966</v>
      </c>
      <c r="W51" s="47">
        <f t="shared" si="15"/>
        <v>1</v>
      </c>
      <c r="X51" s="47">
        <f t="shared" si="15"/>
        <v>788</v>
      </c>
      <c r="Y51" s="47">
        <f t="shared" si="15"/>
        <v>58088</v>
      </c>
      <c r="Z51" s="47">
        <f t="shared" si="15"/>
        <v>2091168</v>
      </c>
      <c r="AA51" s="47">
        <f t="shared" si="15"/>
        <v>57131</v>
      </c>
      <c r="AB51" s="47">
        <f t="shared" si="15"/>
        <v>2456633</v>
      </c>
    </row>
    <row r="52" spans="1:28" s="33" customFormat="1" ht="14.25">
      <c r="A52" s="44" t="s">
        <v>81</v>
      </c>
      <c r="B52" s="38">
        <v>21.67</v>
      </c>
      <c r="C52" s="38">
        <v>67.33</v>
      </c>
      <c r="D52" s="38">
        <v>89</v>
      </c>
      <c r="E52" s="38">
        <v>523</v>
      </c>
      <c r="F52" s="38">
        <v>26150</v>
      </c>
      <c r="G52" s="38">
        <v>381</v>
      </c>
      <c r="H52" s="38">
        <v>190500</v>
      </c>
      <c r="I52" s="38">
        <v>0</v>
      </c>
      <c r="J52" s="38">
        <v>0</v>
      </c>
      <c r="K52" s="38">
        <v>0</v>
      </c>
      <c r="L52" s="38">
        <v>0</v>
      </c>
      <c r="M52" s="38">
        <v>3545</v>
      </c>
      <c r="N52" s="38">
        <v>446670</v>
      </c>
      <c r="O52" s="38">
        <v>0</v>
      </c>
      <c r="P52" s="38">
        <v>0</v>
      </c>
      <c r="Q52" s="38">
        <v>0</v>
      </c>
      <c r="R52" s="38">
        <v>0</v>
      </c>
      <c r="S52" s="38">
        <v>2573</v>
      </c>
      <c r="T52" s="38">
        <v>226424</v>
      </c>
      <c r="U52" s="38">
        <v>0</v>
      </c>
      <c r="V52" s="38">
        <v>0</v>
      </c>
      <c r="W52" s="38">
        <v>0</v>
      </c>
      <c r="X52" s="38">
        <v>0</v>
      </c>
      <c r="Y52" s="38">
        <v>1</v>
      </c>
      <c r="Z52" s="38">
        <v>36</v>
      </c>
      <c r="AA52" s="38">
        <v>1</v>
      </c>
      <c r="AB52" s="38">
        <v>43</v>
      </c>
    </row>
    <row r="53" spans="1:28" s="33" customFormat="1" ht="14.25">
      <c r="A53" s="44" t="s">
        <v>82</v>
      </c>
      <c r="B53" s="38">
        <f>ROUNDUP((F53+H53+J53+L53)/10000,2)</f>
        <v>186.32</v>
      </c>
      <c r="C53" s="38">
        <f>ROUNDUP((N53+P53+R53+T53+V53+X53+Z53+AB53)/10000,2)</f>
        <v>511.87</v>
      </c>
      <c r="D53" s="45">
        <f aca="true" t="shared" si="16" ref="D53:D58">B53+C53</f>
        <v>698.19</v>
      </c>
      <c r="E53" s="46">
        <v>4803</v>
      </c>
      <c r="F53" s="46">
        <v>240150</v>
      </c>
      <c r="G53" s="46">
        <v>2662</v>
      </c>
      <c r="H53" s="46">
        <v>1331000</v>
      </c>
      <c r="I53" s="46">
        <v>152</v>
      </c>
      <c r="J53" s="46">
        <v>281200</v>
      </c>
      <c r="K53" s="46">
        <v>9</v>
      </c>
      <c r="L53" s="46">
        <v>10800</v>
      </c>
      <c r="M53" s="46">
        <v>14290</v>
      </c>
      <c r="N53" s="46">
        <v>1800540</v>
      </c>
      <c r="O53" s="46">
        <v>338</v>
      </c>
      <c r="P53" s="46">
        <v>270062</v>
      </c>
      <c r="Q53" s="46">
        <v>6</v>
      </c>
      <c r="R53" s="46">
        <v>4728</v>
      </c>
      <c r="S53" s="46">
        <v>13524</v>
      </c>
      <c r="T53" s="46">
        <v>1190112</v>
      </c>
      <c r="U53" s="46">
        <v>51</v>
      </c>
      <c r="V53" s="46">
        <v>9894</v>
      </c>
      <c r="W53" s="46">
        <v>0</v>
      </c>
      <c r="X53" s="46">
        <v>0</v>
      </c>
      <c r="Y53" s="46">
        <v>24922</v>
      </c>
      <c r="Z53" s="46">
        <v>897192</v>
      </c>
      <c r="AA53" s="46">
        <v>22004</v>
      </c>
      <c r="AB53" s="46">
        <v>946172</v>
      </c>
    </row>
    <row r="54" spans="1:28" s="33" customFormat="1" ht="14.25">
      <c r="A54" s="44" t="s">
        <v>83</v>
      </c>
      <c r="B54" s="38">
        <f>ROUNDUP((F54+H54+J54+L54)/10000,2)</f>
        <v>73.91</v>
      </c>
      <c r="C54" s="38">
        <f>ROUNDUP((N54+P54+R54+T54+V54+X54+Z54+AB54)/10000,2)</f>
        <v>178.8</v>
      </c>
      <c r="D54" s="45">
        <f t="shared" si="16"/>
        <v>252.71</v>
      </c>
      <c r="E54" s="46">
        <v>1137</v>
      </c>
      <c r="F54" s="46">
        <v>56850</v>
      </c>
      <c r="G54" s="46">
        <v>1244</v>
      </c>
      <c r="H54" s="46">
        <v>622000</v>
      </c>
      <c r="I54" s="46">
        <v>28</v>
      </c>
      <c r="J54" s="46">
        <v>51800</v>
      </c>
      <c r="K54" s="46">
        <v>7</v>
      </c>
      <c r="L54" s="46">
        <v>8400</v>
      </c>
      <c r="M54" s="46">
        <v>4487</v>
      </c>
      <c r="N54" s="46">
        <v>565362</v>
      </c>
      <c r="O54" s="46">
        <v>98</v>
      </c>
      <c r="P54" s="46">
        <v>78302</v>
      </c>
      <c r="Q54" s="46">
        <v>2</v>
      </c>
      <c r="R54" s="46">
        <v>1576</v>
      </c>
      <c r="S54" s="46">
        <v>4570</v>
      </c>
      <c r="T54" s="46">
        <v>402160</v>
      </c>
      <c r="U54" s="46">
        <v>6</v>
      </c>
      <c r="V54" s="46">
        <v>1164</v>
      </c>
      <c r="W54" s="46">
        <v>0</v>
      </c>
      <c r="X54" s="46">
        <v>0</v>
      </c>
      <c r="Y54" s="46">
        <v>9495</v>
      </c>
      <c r="Z54" s="46">
        <v>341820</v>
      </c>
      <c r="AA54" s="46">
        <v>9246</v>
      </c>
      <c r="AB54" s="46">
        <v>397578</v>
      </c>
    </row>
    <row r="55" spans="1:28" s="33" customFormat="1" ht="14.25">
      <c r="A55" s="44" t="s">
        <v>84</v>
      </c>
      <c r="B55" s="38">
        <f>ROUNDUP((F55+H55+J55+L55)/10000,2)</f>
        <v>85.44</v>
      </c>
      <c r="C55" s="38">
        <f>ROUNDUP((N55+P55+R55+T55+V55+X55+Z55+AB55)/10000,2)</f>
        <v>353.3</v>
      </c>
      <c r="D55" s="45">
        <f t="shared" si="16"/>
        <v>438.74</v>
      </c>
      <c r="E55" s="46">
        <v>4720</v>
      </c>
      <c r="F55" s="46">
        <v>236000</v>
      </c>
      <c r="G55" s="46">
        <v>1058</v>
      </c>
      <c r="H55" s="46">
        <v>529000</v>
      </c>
      <c r="I55" s="46">
        <v>47</v>
      </c>
      <c r="J55" s="46">
        <v>86950</v>
      </c>
      <c r="K55" s="46">
        <v>2</v>
      </c>
      <c r="L55" s="46">
        <v>2400</v>
      </c>
      <c r="M55" s="46">
        <v>12072</v>
      </c>
      <c r="N55" s="46">
        <v>1521072</v>
      </c>
      <c r="O55" s="46">
        <v>187</v>
      </c>
      <c r="P55" s="46">
        <v>149413</v>
      </c>
      <c r="Q55" s="46">
        <v>2</v>
      </c>
      <c r="R55" s="46">
        <v>1576</v>
      </c>
      <c r="S55" s="46">
        <v>9371</v>
      </c>
      <c r="T55" s="46">
        <v>824648</v>
      </c>
      <c r="U55" s="46">
        <v>12</v>
      </c>
      <c r="V55" s="46">
        <v>2328</v>
      </c>
      <c r="W55" s="46">
        <v>0</v>
      </c>
      <c r="X55" s="46">
        <v>0</v>
      </c>
      <c r="Y55" s="46">
        <v>13171</v>
      </c>
      <c r="Z55" s="46">
        <v>474156</v>
      </c>
      <c r="AA55" s="46">
        <v>13017</v>
      </c>
      <c r="AB55" s="46">
        <v>559731</v>
      </c>
    </row>
    <row r="56" spans="1:28" s="33" customFormat="1" ht="14.25">
      <c r="A56" s="44" t="s">
        <v>85</v>
      </c>
      <c r="B56" s="38">
        <f>ROUNDUP((F56+H56+J56+L56)/10000,2)</f>
        <v>81.42</v>
      </c>
      <c r="C56" s="38">
        <f>ROUNDUP((N56+P56+R56+T56+V56+X56+Z56+AB56)/10000,2)</f>
        <v>273.1</v>
      </c>
      <c r="D56" s="45">
        <f t="shared" si="16"/>
        <v>354.52000000000004</v>
      </c>
      <c r="E56" s="46">
        <v>4478</v>
      </c>
      <c r="F56" s="46">
        <v>223900</v>
      </c>
      <c r="G56" s="46">
        <v>965</v>
      </c>
      <c r="H56" s="46">
        <v>482500</v>
      </c>
      <c r="I56" s="46">
        <v>55</v>
      </c>
      <c r="J56" s="46">
        <v>101750</v>
      </c>
      <c r="K56" s="46">
        <v>5</v>
      </c>
      <c r="L56" s="46">
        <v>6000</v>
      </c>
      <c r="M56" s="46">
        <v>8547</v>
      </c>
      <c r="N56" s="46">
        <v>1076922</v>
      </c>
      <c r="O56" s="46">
        <v>174</v>
      </c>
      <c r="P56" s="46">
        <v>139026</v>
      </c>
      <c r="Q56" s="46">
        <v>3</v>
      </c>
      <c r="R56" s="46">
        <v>2364</v>
      </c>
      <c r="S56" s="46">
        <v>7519</v>
      </c>
      <c r="T56" s="46">
        <v>661672</v>
      </c>
      <c r="U56" s="46">
        <v>68</v>
      </c>
      <c r="V56" s="46">
        <v>13192</v>
      </c>
      <c r="W56" s="46">
        <v>1</v>
      </c>
      <c r="X56" s="46">
        <v>788</v>
      </c>
      <c r="Y56" s="46">
        <v>10486</v>
      </c>
      <c r="Z56" s="46">
        <v>377496</v>
      </c>
      <c r="AA56" s="46">
        <v>10686</v>
      </c>
      <c r="AB56" s="46">
        <v>459498</v>
      </c>
    </row>
    <row r="57" spans="1:28" s="33" customFormat="1" ht="14.25">
      <c r="A57" s="44" t="s">
        <v>86</v>
      </c>
      <c r="B57" s="38">
        <f>ROUNDUP((F57+H57+J57+L57)/10000,2)</f>
        <v>95.56</v>
      </c>
      <c r="C57" s="38">
        <f>ROUNDUP((N57+P57+R57+T57+V57+X57+Z57+AB57)/10000,2)</f>
        <v>56.63</v>
      </c>
      <c r="D57" s="45">
        <f t="shared" si="16"/>
        <v>152.19</v>
      </c>
      <c r="E57" s="46">
        <v>1999</v>
      </c>
      <c r="F57" s="46">
        <v>99950</v>
      </c>
      <c r="G57" s="46">
        <v>1615</v>
      </c>
      <c r="H57" s="46">
        <v>807500</v>
      </c>
      <c r="I57" s="46">
        <v>26</v>
      </c>
      <c r="J57" s="46">
        <v>48100</v>
      </c>
      <c r="K57" s="46">
        <v>0</v>
      </c>
      <c r="L57" s="46">
        <v>0</v>
      </c>
      <c r="M57" s="46">
        <v>2434</v>
      </c>
      <c r="N57" s="46">
        <v>306684</v>
      </c>
      <c r="O57" s="46">
        <v>32</v>
      </c>
      <c r="P57" s="46">
        <v>25568</v>
      </c>
      <c r="Q57" s="46">
        <v>0</v>
      </c>
      <c r="R57" s="46">
        <v>0</v>
      </c>
      <c r="S57" s="46">
        <v>1585</v>
      </c>
      <c r="T57" s="46">
        <v>139480</v>
      </c>
      <c r="U57" s="46">
        <v>2</v>
      </c>
      <c r="V57" s="46">
        <v>388</v>
      </c>
      <c r="W57" s="46">
        <v>0</v>
      </c>
      <c r="X57" s="46">
        <v>0</v>
      </c>
      <c r="Y57" s="46">
        <v>14</v>
      </c>
      <c r="Z57" s="46">
        <v>504</v>
      </c>
      <c r="AA57" s="46">
        <v>2178</v>
      </c>
      <c r="AB57" s="46">
        <v>93654</v>
      </c>
    </row>
    <row r="58" spans="1:28" s="32" customFormat="1" ht="14.25">
      <c r="A58" s="47" t="s">
        <v>87</v>
      </c>
      <c r="B58" s="43">
        <f>SUM(B59:B63)</f>
        <v>44.35</v>
      </c>
      <c r="C58" s="43">
        <f>SUM(C59:C63)</f>
        <v>522.13</v>
      </c>
      <c r="D58" s="48">
        <f t="shared" si="16"/>
        <v>566.48</v>
      </c>
      <c r="E58" s="47">
        <f aca="true" t="shared" si="17" ref="D58:AB58">SUM(E60:E60)</f>
        <v>504</v>
      </c>
      <c r="F58" s="47">
        <f t="shared" si="17"/>
        <v>25200</v>
      </c>
      <c r="G58" s="47">
        <f t="shared" si="17"/>
        <v>106</v>
      </c>
      <c r="H58" s="47">
        <f t="shared" si="17"/>
        <v>53000</v>
      </c>
      <c r="I58" s="47">
        <f t="shared" si="17"/>
        <v>2</v>
      </c>
      <c r="J58" s="47">
        <f t="shared" si="17"/>
        <v>3700</v>
      </c>
      <c r="K58" s="47">
        <f t="shared" si="17"/>
        <v>1</v>
      </c>
      <c r="L58" s="47">
        <f t="shared" si="17"/>
        <v>1200</v>
      </c>
      <c r="M58" s="47">
        <f t="shared" si="17"/>
        <v>4277</v>
      </c>
      <c r="N58" s="47">
        <f t="shared" si="17"/>
        <v>538902</v>
      </c>
      <c r="O58" s="47">
        <f t="shared" si="17"/>
        <v>0</v>
      </c>
      <c r="P58" s="47">
        <f t="shared" si="17"/>
        <v>0</v>
      </c>
      <c r="Q58" s="47">
        <f t="shared" si="17"/>
        <v>0</v>
      </c>
      <c r="R58" s="47">
        <f t="shared" si="17"/>
        <v>0</v>
      </c>
      <c r="S58" s="47">
        <f t="shared" si="17"/>
        <v>4875</v>
      </c>
      <c r="T58" s="47">
        <f t="shared" si="17"/>
        <v>429000</v>
      </c>
      <c r="U58" s="47">
        <f t="shared" si="17"/>
        <v>0</v>
      </c>
      <c r="V58" s="47">
        <f t="shared" si="17"/>
        <v>0</v>
      </c>
      <c r="W58" s="47">
        <f t="shared" si="17"/>
        <v>0</v>
      </c>
      <c r="X58" s="47">
        <f t="shared" si="17"/>
        <v>0</v>
      </c>
      <c r="Y58" s="47">
        <f t="shared" si="17"/>
        <v>6956</v>
      </c>
      <c r="Z58" s="47">
        <f t="shared" si="17"/>
        <v>250416</v>
      </c>
      <c r="AA58" s="47">
        <f t="shared" si="17"/>
        <v>4771</v>
      </c>
      <c r="AB58" s="47">
        <f t="shared" si="17"/>
        <v>205153</v>
      </c>
    </row>
    <row r="59" spans="1:28" s="33" customFormat="1" ht="14.25">
      <c r="A59" s="44" t="s">
        <v>88</v>
      </c>
      <c r="B59" s="38">
        <v>1.01</v>
      </c>
      <c r="C59" s="38">
        <v>7.65</v>
      </c>
      <c r="D59" s="38">
        <v>8.66</v>
      </c>
      <c r="E59" s="38">
        <v>121</v>
      </c>
      <c r="F59" s="38">
        <v>6050</v>
      </c>
      <c r="G59" s="38">
        <v>8</v>
      </c>
      <c r="H59" s="38">
        <v>4000</v>
      </c>
      <c r="I59" s="38">
        <v>0</v>
      </c>
      <c r="J59" s="38">
        <v>0</v>
      </c>
      <c r="K59" s="38">
        <v>0</v>
      </c>
      <c r="L59" s="38">
        <v>0</v>
      </c>
      <c r="M59" s="38">
        <v>303</v>
      </c>
      <c r="N59" s="38">
        <v>38178</v>
      </c>
      <c r="O59" s="38">
        <v>2</v>
      </c>
      <c r="P59" s="38">
        <v>1598</v>
      </c>
      <c r="Q59" s="38">
        <v>1</v>
      </c>
      <c r="R59" s="38">
        <v>788</v>
      </c>
      <c r="S59" s="38">
        <v>0</v>
      </c>
      <c r="T59" s="38">
        <v>0</v>
      </c>
      <c r="U59" s="38">
        <v>0</v>
      </c>
      <c r="V59" s="38">
        <v>0</v>
      </c>
      <c r="W59" s="38">
        <v>0</v>
      </c>
      <c r="X59" s="38">
        <v>0</v>
      </c>
      <c r="Y59" s="38">
        <v>763</v>
      </c>
      <c r="Z59" s="38">
        <v>27468</v>
      </c>
      <c r="AA59" s="38">
        <v>193</v>
      </c>
      <c r="AB59" s="38">
        <v>8299</v>
      </c>
    </row>
    <row r="60" spans="1:28" s="33" customFormat="1" ht="14.25">
      <c r="A60" s="44" t="s">
        <v>89</v>
      </c>
      <c r="B60" s="38">
        <f>ROUNDUP((F60+H60+J60+L60)/10000,2)</f>
        <v>8.31</v>
      </c>
      <c r="C60" s="38">
        <f>ROUNDUP((N60+P60+R60+T60+V60+X60+Z60+AB60)/10000,2)</f>
        <v>142.35</v>
      </c>
      <c r="D60" s="45">
        <f aca="true" t="shared" si="18" ref="D60:D69">B60+C60</f>
        <v>150.66</v>
      </c>
      <c r="E60" s="46">
        <v>504</v>
      </c>
      <c r="F60" s="46">
        <v>25200</v>
      </c>
      <c r="G60" s="46">
        <v>106</v>
      </c>
      <c r="H60" s="46">
        <v>53000</v>
      </c>
      <c r="I60" s="46">
        <v>2</v>
      </c>
      <c r="J60" s="46">
        <v>3700</v>
      </c>
      <c r="K60" s="46">
        <v>1</v>
      </c>
      <c r="L60" s="46">
        <v>1200</v>
      </c>
      <c r="M60" s="46">
        <v>4277</v>
      </c>
      <c r="N60" s="46">
        <v>538902</v>
      </c>
      <c r="O60" s="46">
        <v>0</v>
      </c>
      <c r="P60" s="46">
        <v>0</v>
      </c>
      <c r="Q60" s="46">
        <v>0</v>
      </c>
      <c r="R60" s="46">
        <v>0</v>
      </c>
      <c r="S60" s="46">
        <v>4875</v>
      </c>
      <c r="T60" s="46">
        <v>429000</v>
      </c>
      <c r="U60" s="46">
        <v>0</v>
      </c>
      <c r="V60" s="46">
        <v>0</v>
      </c>
      <c r="W60" s="46">
        <v>0</v>
      </c>
      <c r="X60" s="46">
        <v>0</v>
      </c>
      <c r="Y60" s="46">
        <v>6956</v>
      </c>
      <c r="Z60" s="46">
        <v>250416</v>
      </c>
      <c r="AA60" s="46">
        <v>4771</v>
      </c>
      <c r="AB60" s="46">
        <v>205153</v>
      </c>
    </row>
    <row r="61" spans="1:28" s="33" customFormat="1" ht="14.25">
      <c r="A61" s="44" t="s">
        <v>90</v>
      </c>
      <c r="B61" s="38">
        <f>ROUNDUP((F61+H61+J61+L61)/10000,2)</f>
        <v>15.95</v>
      </c>
      <c r="C61" s="38">
        <f>ROUNDUP((N61+P61+R61+T61+V61+X61+Z61+AB61)/10000,2)</f>
        <v>221.26</v>
      </c>
      <c r="D61" s="45">
        <f t="shared" si="18"/>
        <v>237.20999999999998</v>
      </c>
      <c r="E61" s="46">
        <v>1970</v>
      </c>
      <c r="F61" s="46">
        <v>98500</v>
      </c>
      <c r="G61" s="46">
        <v>122</v>
      </c>
      <c r="H61" s="46">
        <v>61000</v>
      </c>
      <c r="I61" s="46">
        <v>0</v>
      </c>
      <c r="J61" s="46">
        <v>0</v>
      </c>
      <c r="K61" s="46">
        <v>0</v>
      </c>
      <c r="L61" s="46">
        <v>0</v>
      </c>
      <c r="M61" s="46">
        <v>5553</v>
      </c>
      <c r="N61" s="46">
        <v>699678</v>
      </c>
      <c r="O61" s="46">
        <v>1</v>
      </c>
      <c r="P61" s="46">
        <v>799</v>
      </c>
      <c r="Q61" s="46">
        <v>1</v>
      </c>
      <c r="R61" s="46">
        <v>788</v>
      </c>
      <c r="S61" s="46">
        <v>1833</v>
      </c>
      <c r="T61" s="46">
        <v>161304</v>
      </c>
      <c r="U61" s="46">
        <v>0</v>
      </c>
      <c r="V61" s="46">
        <v>0</v>
      </c>
      <c r="W61" s="46">
        <v>0</v>
      </c>
      <c r="X61" s="46">
        <v>0</v>
      </c>
      <c r="Y61" s="46">
        <v>18296</v>
      </c>
      <c r="Z61" s="46">
        <v>658656</v>
      </c>
      <c r="AA61" s="46">
        <v>16078</v>
      </c>
      <c r="AB61" s="46">
        <v>691354</v>
      </c>
    </row>
    <row r="62" spans="1:28" s="33" customFormat="1" ht="14.25">
      <c r="A62" s="44" t="s">
        <v>91</v>
      </c>
      <c r="B62" s="38">
        <f>ROUNDUP((F62+H62+J62+L62)/10000,2)</f>
        <v>6.16</v>
      </c>
      <c r="C62" s="38">
        <f>ROUNDUP((N62+P62+R62+T62+V62+X62+Z62+AB62)/10000,2)</f>
        <v>68.72</v>
      </c>
      <c r="D62" s="45">
        <f t="shared" si="18"/>
        <v>74.88</v>
      </c>
      <c r="E62" s="46">
        <v>978</v>
      </c>
      <c r="F62" s="46">
        <v>48900</v>
      </c>
      <c r="G62" s="46">
        <v>18</v>
      </c>
      <c r="H62" s="46">
        <v>9000</v>
      </c>
      <c r="I62" s="46">
        <v>2</v>
      </c>
      <c r="J62" s="46">
        <v>3700</v>
      </c>
      <c r="K62" s="46">
        <v>0</v>
      </c>
      <c r="L62" s="46">
        <v>0</v>
      </c>
      <c r="M62" s="46">
        <v>1587</v>
      </c>
      <c r="N62" s="46">
        <v>199962</v>
      </c>
      <c r="O62" s="46">
        <v>3</v>
      </c>
      <c r="P62" s="46">
        <v>2397</v>
      </c>
      <c r="Q62" s="46">
        <v>0</v>
      </c>
      <c r="R62" s="46">
        <v>0</v>
      </c>
      <c r="S62" s="46">
        <v>1450</v>
      </c>
      <c r="T62" s="46">
        <v>127600</v>
      </c>
      <c r="U62" s="46">
        <v>1</v>
      </c>
      <c r="V62" s="46">
        <v>194</v>
      </c>
      <c r="W62" s="46">
        <v>0</v>
      </c>
      <c r="X62" s="46">
        <v>0</v>
      </c>
      <c r="Y62" s="46">
        <v>6158</v>
      </c>
      <c r="Z62" s="46">
        <v>221688</v>
      </c>
      <c r="AA62" s="46">
        <v>3147</v>
      </c>
      <c r="AB62" s="46">
        <v>135321</v>
      </c>
    </row>
    <row r="63" spans="1:28" s="33" customFormat="1" ht="14.25">
      <c r="A63" s="44" t="s">
        <v>92</v>
      </c>
      <c r="B63" s="38">
        <f>ROUNDUP((F63+H63+J63+L63)/10000,2)</f>
        <v>12.92</v>
      </c>
      <c r="C63" s="38">
        <f>ROUNDUP((N63+P63+R63+T63+V63+X63+Z63+AB63)/10000,2)</f>
        <v>82.15</v>
      </c>
      <c r="D63" s="45">
        <f t="shared" si="18"/>
        <v>95.07000000000001</v>
      </c>
      <c r="E63" s="46">
        <v>1261</v>
      </c>
      <c r="F63" s="46">
        <v>63050</v>
      </c>
      <c r="G63" s="46">
        <v>93</v>
      </c>
      <c r="H63" s="46">
        <v>46500</v>
      </c>
      <c r="I63" s="46">
        <v>8</v>
      </c>
      <c r="J63" s="46">
        <v>14800</v>
      </c>
      <c r="K63" s="46">
        <v>4</v>
      </c>
      <c r="L63" s="46">
        <v>4800</v>
      </c>
      <c r="M63" s="46">
        <v>2739</v>
      </c>
      <c r="N63" s="46">
        <v>345114</v>
      </c>
      <c r="O63" s="46">
        <v>14</v>
      </c>
      <c r="P63" s="46">
        <v>11186</v>
      </c>
      <c r="Q63" s="46">
        <v>4</v>
      </c>
      <c r="R63" s="46">
        <v>3152</v>
      </c>
      <c r="S63" s="46">
        <v>2777</v>
      </c>
      <c r="T63" s="46">
        <v>244376</v>
      </c>
      <c r="U63" s="46">
        <v>52</v>
      </c>
      <c r="V63" s="46">
        <v>10088</v>
      </c>
      <c r="W63" s="46">
        <v>8</v>
      </c>
      <c r="X63" s="46">
        <v>6304</v>
      </c>
      <c r="Y63" s="46">
        <v>2729</v>
      </c>
      <c r="Z63" s="46">
        <v>98244</v>
      </c>
      <c r="AA63" s="46">
        <v>2395</v>
      </c>
      <c r="AB63" s="46">
        <v>102985</v>
      </c>
    </row>
    <row r="64" spans="1:28" s="32" customFormat="1" ht="14.25">
      <c r="A64" s="47" t="s">
        <v>93</v>
      </c>
      <c r="B64" s="43">
        <f>SUM(B65:B68)</f>
        <v>39.45</v>
      </c>
      <c r="C64" s="43">
        <f>SUM(C65:C68)</f>
        <v>456.27</v>
      </c>
      <c r="D64" s="48">
        <f t="shared" si="18"/>
        <v>495.71999999999997</v>
      </c>
      <c r="E64" s="47">
        <f aca="true" t="shared" si="19" ref="D64:AB64">SUM(E66:E68)</f>
        <v>2701</v>
      </c>
      <c r="F64" s="47">
        <f t="shared" si="19"/>
        <v>135050</v>
      </c>
      <c r="G64" s="47">
        <f t="shared" si="19"/>
        <v>425</v>
      </c>
      <c r="H64" s="47">
        <f t="shared" si="19"/>
        <v>212500</v>
      </c>
      <c r="I64" s="47">
        <f t="shared" si="19"/>
        <v>15</v>
      </c>
      <c r="J64" s="47">
        <f t="shared" si="19"/>
        <v>27750</v>
      </c>
      <c r="K64" s="47">
        <f t="shared" si="19"/>
        <v>16</v>
      </c>
      <c r="L64" s="47">
        <f t="shared" si="19"/>
        <v>19200</v>
      </c>
      <c r="M64" s="47">
        <f t="shared" si="19"/>
        <v>15057</v>
      </c>
      <c r="N64" s="47">
        <f t="shared" si="19"/>
        <v>1897182</v>
      </c>
      <c r="O64" s="47">
        <f t="shared" si="19"/>
        <v>25</v>
      </c>
      <c r="P64" s="47">
        <f t="shared" si="19"/>
        <v>19975</v>
      </c>
      <c r="Q64" s="47">
        <f t="shared" si="19"/>
        <v>9</v>
      </c>
      <c r="R64" s="47">
        <f t="shared" si="19"/>
        <v>7092</v>
      </c>
      <c r="S64" s="47">
        <f t="shared" si="19"/>
        <v>13468</v>
      </c>
      <c r="T64" s="47">
        <f t="shared" si="19"/>
        <v>1185184</v>
      </c>
      <c r="U64" s="47">
        <f t="shared" si="19"/>
        <v>59</v>
      </c>
      <c r="V64" s="47">
        <f t="shared" si="19"/>
        <v>11446</v>
      </c>
      <c r="W64" s="47">
        <f t="shared" si="19"/>
        <v>5</v>
      </c>
      <c r="X64" s="47">
        <f t="shared" si="19"/>
        <v>3940</v>
      </c>
      <c r="Y64" s="47">
        <f t="shared" si="19"/>
        <v>18220</v>
      </c>
      <c r="Z64" s="47">
        <f t="shared" si="19"/>
        <v>655920</v>
      </c>
      <c r="AA64" s="47">
        <f t="shared" si="19"/>
        <v>18184</v>
      </c>
      <c r="AB64" s="47">
        <f t="shared" si="19"/>
        <v>781912</v>
      </c>
    </row>
    <row r="65" spans="1:28" s="33" customFormat="1" ht="14.25">
      <c r="A65" s="44" t="s">
        <v>94</v>
      </c>
      <c r="B65" s="38">
        <f>ROUNDUP((F65+H65+J65+L65)/10000,2)</f>
        <v>0</v>
      </c>
      <c r="C65" s="38">
        <f>ROUNDUP((N65+P65+R65+T65+V65+X65+Z65+AB65)/10000,2)</f>
        <v>0</v>
      </c>
      <c r="D65" s="45">
        <f t="shared" si="18"/>
        <v>0</v>
      </c>
      <c r="E65" s="46"/>
      <c r="F65" s="46"/>
      <c r="G65" s="46"/>
      <c r="H65" s="46"/>
      <c r="I65" s="46"/>
      <c r="J65" s="46"/>
      <c r="K65" s="46"/>
      <c r="L65" s="46"/>
      <c r="M65" s="46"/>
      <c r="N65" s="46"/>
      <c r="O65" s="46"/>
      <c r="P65" s="46"/>
      <c r="Q65" s="46"/>
      <c r="R65" s="46"/>
      <c r="S65" s="46"/>
      <c r="T65" s="46"/>
      <c r="U65" s="46"/>
      <c r="V65" s="46"/>
      <c r="W65" s="46"/>
      <c r="X65" s="46"/>
      <c r="Y65" s="46"/>
      <c r="Z65" s="46"/>
      <c r="AA65" s="46"/>
      <c r="AB65" s="46"/>
    </row>
    <row r="66" spans="1:28" s="33" customFormat="1" ht="14.25">
      <c r="A66" s="44" t="s">
        <v>95</v>
      </c>
      <c r="B66" s="38">
        <f>ROUNDUP((F66+H66+J66+L66)/10000,2)</f>
        <v>7.69</v>
      </c>
      <c r="C66" s="38">
        <f>ROUNDUP((N66+P66+R66+T66+V66+X66+Z66+AB66)/10000,2)</f>
        <v>136.38</v>
      </c>
      <c r="D66" s="45">
        <f t="shared" si="18"/>
        <v>144.07</v>
      </c>
      <c r="E66" s="46">
        <v>329</v>
      </c>
      <c r="F66" s="46">
        <v>16450</v>
      </c>
      <c r="G66" s="46">
        <v>88</v>
      </c>
      <c r="H66" s="46">
        <v>44000</v>
      </c>
      <c r="I66" s="46">
        <v>5</v>
      </c>
      <c r="J66" s="46">
        <v>9250</v>
      </c>
      <c r="K66" s="46">
        <v>6</v>
      </c>
      <c r="L66" s="46">
        <v>7200</v>
      </c>
      <c r="M66" s="46">
        <v>3792</v>
      </c>
      <c r="N66" s="46">
        <v>477792</v>
      </c>
      <c r="O66" s="46">
        <v>2</v>
      </c>
      <c r="P66" s="46">
        <v>1598</v>
      </c>
      <c r="Q66" s="46">
        <v>0</v>
      </c>
      <c r="R66" s="46">
        <v>0</v>
      </c>
      <c r="S66" s="46">
        <v>3660</v>
      </c>
      <c r="T66" s="46">
        <v>322080</v>
      </c>
      <c r="U66" s="46">
        <v>38</v>
      </c>
      <c r="V66" s="46">
        <v>7372</v>
      </c>
      <c r="W66" s="46">
        <v>2</v>
      </c>
      <c r="X66" s="46">
        <v>1576</v>
      </c>
      <c r="Y66" s="46">
        <v>6955</v>
      </c>
      <c r="Z66" s="46">
        <v>250380</v>
      </c>
      <c r="AA66" s="46">
        <v>7046</v>
      </c>
      <c r="AB66" s="46">
        <v>302978</v>
      </c>
    </row>
    <row r="67" spans="1:28" s="33" customFormat="1" ht="14.25">
      <c r="A67" s="44" t="s">
        <v>96</v>
      </c>
      <c r="B67" s="38">
        <f>ROUNDUP((F67+H67+J67+L67)/10000,2)</f>
        <v>6.93</v>
      </c>
      <c r="C67" s="38">
        <f>ROUNDUP((N67+P67+R67+T67+V67+X67+Z67+AB67)/10000,2)</f>
        <v>207.53</v>
      </c>
      <c r="D67" s="45">
        <f t="shared" si="18"/>
        <v>214.46</v>
      </c>
      <c r="E67" s="46">
        <v>556</v>
      </c>
      <c r="F67" s="46">
        <v>27800</v>
      </c>
      <c r="G67" s="46">
        <v>66</v>
      </c>
      <c r="H67" s="46">
        <v>33000</v>
      </c>
      <c r="I67" s="46">
        <v>2</v>
      </c>
      <c r="J67" s="46">
        <v>3700</v>
      </c>
      <c r="K67" s="46">
        <v>4</v>
      </c>
      <c r="L67" s="46">
        <v>4800</v>
      </c>
      <c r="M67" s="46">
        <v>7599</v>
      </c>
      <c r="N67" s="46">
        <v>957474</v>
      </c>
      <c r="O67" s="46">
        <v>0</v>
      </c>
      <c r="P67" s="46">
        <v>0</v>
      </c>
      <c r="Q67" s="46">
        <v>0</v>
      </c>
      <c r="R67" s="46">
        <v>0</v>
      </c>
      <c r="S67" s="46">
        <v>6710</v>
      </c>
      <c r="T67" s="46">
        <v>590480</v>
      </c>
      <c r="U67" s="46">
        <v>18</v>
      </c>
      <c r="V67" s="46">
        <v>3492</v>
      </c>
      <c r="W67" s="46">
        <v>0</v>
      </c>
      <c r="X67" s="46">
        <v>0</v>
      </c>
      <c r="Y67" s="46">
        <v>6692</v>
      </c>
      <c r="Z67" s="46">
        <v>240912</v>
      </c>
      <c r="AA67" s="46">
        <v>6580</v>
      </c>
      <c r="AB67" s="46">
        <v>282940</v>
      </c>
    </row>
    <row r="68" spans="1:28" s="33" customFormat="1" ht="14.25">
      <c r="A68" s="44" t="s">
        <v>97</v>
      </c>
      <c r="B68" s="38">
        <f>ROUNDUP((F68+H68+J68+L68)/10000,2)</f>
        <v>24.83</v>
      </c>
      <c r="C68" s="38">
        <f>ROUNDUP((N68+P68+R68+T68+V68+X68+Z68+AB68)/10000,2)</f>
        <v>112.36</v>
      </c>
      <c r="D68" s="45">
        <f t="shared" si="18"/>
        <v>137.19</v>
      </c>
      <c r="E68" s="46">
        <v>1816</v>
      </c>
      <c r="F68" s="46">
        <v>90800</v>
      </c>
      <c r="G68" s="46">
        <v>271</v>
      </c>
      <c r="H68" s="46">
        <v>135500</v>
      </c>
      <c r="I68" s="46">
        <v>8</v>
      </c>
      <c r="J68" s="46">
        <v>14800</v>
      </c>
      <c r="K68" s="46">
        <v>6</v>
      </c>
      <c r="L68" s="46">
        <v>7200</v>
      </c>
      <c r="M68" s="46">
        <v>3666</v>
      </c>
      <c r="N68" s="46">
        <v>461916</v>
      </c>
      <c r="O68" s="46">
        <v>23</v>
      </c>
      <c r="P68" s="46">
        <v>18377</v>
      </c>
      <c r="Q68" s="46">
        <v>9</v>
      </c>
      <c r="R68" s="46">
        <v>7092</v>
      </c>
      <c r="S68" s="46">
        <v>3098</v>
      </c>
      <c r="T68" s="46">
        <v>272624</v>
      </c>
      <c r="U68" s="46">
        <v>3</v>
      </c>
      <c r="V68" s="46">
        <v>582</v>
      </c>
      <c r="W68" s="46">
        <v>3</v>
      </c>
      <c r="X68" s="46">
        <v>2364</v>
      </c>
      <c r="Y68" s="46">
        <v>4573</v>
      </c>
      <c r="Z68" s="46">
        <v>164628</v>
      </c>
      <c r="AA68" s="46">
        <v>4558</v>
      </c>
      <c r="AB68" s="46">
        <v>195994</v>
      </c>
    </row>
    <row r="69" spans="1:28" s="32" customFormat="1" ht="14.25">
      <c r="A69" s="47" t="s">
        <v>98</v>
      </c>
      <c r="B69" s="43">
        <f>SUM(B70:B74)</f>
        <v>194.05</v>
      </c>
      <c r="C69" s="43">
        <f>SUM(C70:C74)</f>
        <v>742.25</v>
      </c>
      <c r="D69" s="48">
        <f t="shared" si="18"/>
        <v>936.3</v>
      </c>
      <c r="E69" s="47">
        <f aca="true" t="shared" si="20" ref="D69:AB69">SUM(E71:E74)</f>
        <v>8463</v>
      </c>
      <c r="F69" s="47">
        <f t="shared" si="20"/>
        <v>423150</v>
      </c>
      <c r="G69" s="47">
        <f t="shared" si="20"/>
        <v>1923</v>
      </c>
      <c r="H69" s="47">
        <f t="shared" si="20"/>
        <v>961500</v>
      </c>
      <c r="I69" s="47">
        <f t="shared" si="20"/>
        <v>253</v>
      </c>
      <c r="J69" s="47">
        <f t="shared" si="20"/>
        <v>468050</v>
      </c>
      <c r="K69" s="47">
        <f t="shared" si="20"/>
        <v>59</v>
      </c>
      <c r="L69" s="47">
        <f t="shared" si="20"/>
        <v>70800</v>
      </c>
      <c r="M69" s="47">
        <f t="shared" si="20"/>
        <v>21802</v>
      </c>
      <c r="N69" s="47">
        <f t="shared" si="20"/>
        <v>2747052</v>
      </c>
      <c r="O69" s="47">
        <f t="shared" si="20"/>
        <v>421</v>
      </c>
      <c r="P69" s="47">
        <f t="shared" si="20"/>
        <v>336379</v>
      </c>
      <c r="Q69" s="47">
        <f t="shared" si="20"/>
        <v>29</v>
      </c>
      <c r="R69" s="47">
        <f t="shared" si="20"/>
        <v>22852</v>
      </c>
      <c r="S69" s="47">
        <f t="shared" si="20"/>
        <v>16958</v>
      </c>
      <c r="T69" s="47">
        <f t="shared" si="20"/>
        <v>1492304</v>
      </c>
      <c r="U69" s="47">
        <f t="shared" si="20"/>
        <v>66</v>
      </c>
      <c r="V69" s="47">
        <f t="shared" si="20"/>
        <v>12804</v>
      </c>
      <c r="W69" s="47">
        <f t="shared" si="20"/>
        <v>25</v>
      </c>
      <c r="X69" s="47">
        <f t="shared" si="20"/>
        <v>19700</v>
      </c>
      <c r="Y69" s="47">
        <f t="shared" si="20"/>
        <v>31682</v>
      </c>
      <c r="Z69" s="47">
        <f t="shared" si="20"/>
        <v>1140552</v>
      </c>
      <c r="AA69" s="47">
        <f t="shared" si="20"/>
        <v>31139</v>
      </c>
      <c r="AB69" s="47">
        <f t="shared" si="20"/>
        <v>1338977</v>
      </c>
    </row>
    <row r="70" spans="1:28" s="33" customFormat="1" ht="14.25">
      <c r="A70" s="44" t="s">
        <v>99</v>
      </c>
      <c r="B70" s="38">
        <v>1.6800000000000002</v>
      </c>
      <c r="C70" s="38">
        <v>31.17</v>
      </c>
      <c r="D70" s="38">
        <v>32.849999999999994</v>
      </c>
      <c r="E70" s="38">
        <v>214</v>
      </c>
      <c r="F70" s="38">
        <v>10700</v>
      </c>
      <c r="G70" s="38">
        <v>0</v>
      </c>
      <c r="H70" s="38">
        <v>0</v>
      </c>
      <c r="I70" s="38">
        <v>2</v>
      </c>
      <c r="J70" s="38">
        <v>3700</v>
      </c>
      <c r="K70" s="38">
        <v>2</v>
      </c>
      <c r="L70" s="38">
        <v>2400</v>
      </c>
      <c r="M70" s="38">
        <v>712</v>
      </c>
      <c r="N70" s="38">
        <v>134568</v>
      </c>
      <c r="O70" s="38">
        <v>20</v>
      </c>
      <c r="P70" s="38">
        <v>23970</v>
      </c>
      <c r="Q70" s="38">
        <v>0</v>
      </c>
      <c r="R70" s="38">
        <v>0</v>
      </c>
      <c r="S70" s="38">
        <v>376</v>
      </c>
      <c r="T70" s="38">
        <v>49632</v>
      </c>
      <c r="U70" s="38">
        <v>2</v>
      </c>
      <c r="V70" s="38">
        <v>582</v>
      </c>
      <c r="W70" s="38">
        <v>0</v>
      </c>
      <c r="X70" s="38">
        <v>0</v>
      </c>
      <c r="Y70" s="38">
        <v>870</v>
      </c>
      <c r="Z70" s="38">
        <v>46980</v>
      </c>
      <c r="AA70" s="38">
        <v>866</v>
      </c>
      <c r="AB70" s="38">
        <v>55857</v>
      </c>
    </row>
    <row r="71" spans="1:28" s="33" customFormat="1" ht="14.25">
      <c r="A71" s="44" t="s">
        <v>100</v>
      </c>
      <c r="B71" s="38">
        <f>ROUNDUP((F71+H71+J71+L71)/10000,2)</f>
        <v>31.74</v>
      </c>
      <c r="C71" s="38">
        <f>ROUNDUP((N71+P71+R71+T71+V71+X71+Z71+AB71)/10000,2)</f>
        <v>242.55</v>
      </c>
      <c r="D71" s="45">
        <f>B71+C71</f>
        <v>274.29</v>
      </c>
      <c r="E71" s="46">
        <v>893</v>
      </c>
      <c r="F71" s="46">
        <v>44650</v>
      </c>
      <c r="G71" s="46">
        <v>346</v>
      </c>
      <c r="H71" s="46">
        <v>173000</v>
      </c>
      <c r="I71" s="46">
        <v>50</v>
      </c>
      <c r="J71" s="46">
        <v>92500</v>
      </c>
      <c r="K71" s="46">
        <v>6</v>
      </c>
      <c r="L71" s="46">
        <v>7200</v>
      </c>
      <c r="M71" s="46">
        <v>7153</v>
      </c>
      <c r="N71" s="46">
        <v>901278</v>
      </c>
      <c r="O71" s="46">
        <v>137</v>
      </c>
      <c r="P71" s="46">
        <v>109463</v>
      </c>
      <c r="Q71" s="46">
        <v>7</v>
      </c>
      <c r="R71" s="46">
        <v>5516</v>
      </c>
      <c r="S71" s="46">
        <v>5598</v>
      </c>
      <c r="T71" s="46">
        <v>492624</v>
      </c>
      <c r="U71" s="46">
        <v>22</v>
      </c>
      <c r="V71" s="46">
        <v>4268</v>
      </c>
      <c r="W71" s="46">
        <v>12</v>
      </c>
      <c r="X71" s="46">
        <v>9456</v>
      </c>
      <c r="Y71" s="46">
        <v>11712</v>
      </c>
      <c r="Z71" s="46">
        <v>421632</v>
      </c>
      <c r="AA71" s="46">
        <v>11191</v>
      </c>
      <c r="AB71" s="46">
        <v>481213</v>
      </c>
    </row>
    <row r="72" spans="1:28" s="33" customFormat="1" ht="14.25">
      <c r="A72" s="44" t="s">
        <v>101</v>
      </c>
      <c r="B72" s="38">
        <f>ROUNDUP((F72+H72+J72+L72)/10000,2)</f>
        <v>107.62</v>
      </c>
      <c r="C72" s="38">
        <f>ROUNDUP((N72+P72+R72+T72+V72+X72+Z72+AB72)/10000,2)</f>
        <v>246.27</v>
      </c>
      <c r="D72" s="45">
        <f>B72+C72</f>
        <v>353.89</v>
      </c>
      <c r="E72" s="46">
        <v>5134</v>
      </c>
      <c r="F72" s="46">
        <v>256700</v>
      </c>
      <c r="G72" s="46">
        <v>1149</v>
      </c>
      <c r="H72" s="46">
        <v>574500</v>
      </c>
      <c r="I72" s="46">
        <v>111</v>
      </c>
      <c r="J72" s="46">
        <v>205350</v>
      </c>
      <c r="K72" s="46">
        <v>33</v>
      </c>
      <c r="L72" s="46">
        <v>39600</v>
      </c>
      <c r="M72" s="46">
        <v>7615</v>
      </c>
      <c r="N72" s="46">
        <v>959490</v>
      </c>
      <c r="O72" s="46">
        <v>104</v>
      </c>
      <c r="P72" s="46">
        <v>83096</v>
      </c>
      <c r="Q72" s="46">
        <v>14</v>
      </c>
      <c r="R72" s="46">
        <v>11032</v>
      </c>
      <c r="S72" s="46">
        <v>6425</v>
      </c>
      <c r="T72" s="46">
        <v>565400</v>
      </c>
      <c r="U72" s="46">
        <v>7</v>
      </c>
      <c r="V72" s="46">
        <v>1358</v>
      </c>
      <c r="W72" s="46">
        <v>4</v>
      </c>
      <c r="X72" s="46">
        <v>3152</v>
      </c>
      <c r="Y72" s="46">
        <v>10622</v>
      </c>
      <c r="Z72" s="46">
        <v>382392</v>
      </c>
      <c r="AA72" s="46">
        <v>10622</v>
      </c>
      <c r="AB72" s="46">
        <v>456746</v>
      </c>
    </row>
    <row r="73" spans="1:28" s="33" customFormat="1" ht="14.25">
      <c r="A73" s="44" t="s">
        <v>102</v>
      </c>
      <c r="B73" s="38">
        <f>ROUNDUP((F73+H73+J73+L73)/10000,2)</f>
        <v>25.63</v>
      </c>
      <c r="C73" s="38">
        <f>ROUNDUP((N73+P73+R73+T73+V73+X73+Z73+AB73)/10000,2)</f>
        <v>104.41</v>
      </c>
      <c r="D73" s="45">
        <f>B73+C73</f>
        <v>130.04</v>
      </c>
      <c r="E73" s="46">
        <v>863</v>
      </c>
      <c r="F73" s="46">
        <v>43150</v>
      </c>
      <c r="G73" s="46">
        <v>200</v>
      </c>
      <c r="H73" s="46">
        <v>100000</v>
      </c>
      <c r="I73" s="46">
        <v>54</v>
      </c>
      <c r="J73" s="46">
        <v>99900</v>
      </c>
      <c r="K73" s="46">
        <v>11</v>
      </c>
      <c r="L73" s="46">
        <v>13200</v>
      </c>
      <c r="M73" s="46">
        <v>3247</v>
      </c>
      <c r="N73" s="46">
        <v>409122</v>
      </c>
      <c r="O73" s="46">
        <v>61</v>
      </c>
      <c r="P73" s="46">
        <v>48739</v>
      </c>
      <c r="Q73" s="46">
        <v>4</v>
      </c>
      <c r="R73" s="46">
        <v>3152</v>
      </c>
      <c r="S73" s="46">
        <v>2754</v>
      </c>
      <c r="T73" s="46">
        <v>242352</v>
      </c>
      <c r="U73" s="46">
        <v>18</v>
      </c>
      <c r="V73" s="46">
        <v>3492</v>
      </c>
      <c r="W73" s="46">
        <v>3</v>
      </c>
      <c r="X73" s="46">
        <v>2364</v>
      </c>
      <c r="Y73" s="46">
        <v>4250</v>
      </c>
      <c r="Z73" s="46">
        <v>153000</v>
      </c>
      <c r="AA73" s="46">
        <v>4229</v>
      </c>
      <c r="AB73" s="46">
        <v>181847</v>
      </c>
    </row>
    <row r="74" spans="1:28" s="33" customFormat="1" ht="14.25">
      <c r="A74" s="44" t="s">
        <v>103</v>
      </c>
      <c r="B74" s="38">
        <f>ROUNDUP((F74+H74+J74+L74)/10000,2)</f>
        <v>27.38</v>
      </c>
      <c r="C74" s="38">
        <f>ROUNDUP((N74+P74+R74+T74+V74+X74+Z74+AB74)/10000,2)</f>
        <v>117.85</v>
      </c>
      <c r="D74" s="45">
        <f>B74+C74</f>
        <v>145.23</v>
      </c>
      <c r="E74" s="46">
        <v>1573</v>
      </c>
      <c r="F74" s="46">
        <v>78650</v>
      </c>
      <c r="G74" s="46">
        <v>228</v>
      </c>
      <c r="H74" s="46">
        <v>114000</v>
      </c>
      <c r="I74" s="46">
        <v>38</v>
      </c>
      <c r="J74" s="46">
        <v>70300</v>
      </c>
      <c r="K74" s="46">
        <v>9</v>
      </c>
      <c r="L74" s="46">
        <v>10800</v>
      </c>
      <c r="M74" s="46">
        <v>3787</v>
      </c>
      <c r="N74" s="46">
        <v>477162</v>
      </c>
      <c r="O74" s="46">
        <v>119</v>
      </c>
      <c r="P74" s="46">
        <v>95081</v>
      </c>
      <c r="Q74" s="46">
        <v>4</v>
      </c>
      <c r="R74" s="46">
        <v>3152</v>
      </c>
      <c r="S74" s="46">
        <v>2181</v>
      </c>
      <c r="T74" s="46">
        <v>191928</v>
      </c>
      <c r="U74" s="46">
        <v>19</v>
      </c>
      <c r="V74" s="46">
        <v>3686</v>
      </c>
      <c r="W74" s="46">
        <v>6</v>
      </c>
      <c r="X74" s="46">
        <v>4728</v>
      </c>
      <c r="Y74" s="46">
        <v>5098</v>
      </c>
      <c r="Z74" s="46">
        <v>183528</v>
      </c>
      <c r="AA74" s="46">
        <v>5097</v>
      </c>
      <c r="AB74" s="46">
        <v>219171</v>
      </c>
    </row>
    <row r="75" spans="1:28" s="32" customFormat="1" ht="14.25">
      <c r="A75" s="47" t="s">
        <v>104</v>
      </c>
      <c r="B75" s="43">
        <f>SUM(B76:B85)</f>
        <v>285.71000000000004</v>
      </c>
      <c r="C75" s="43">
        <f>SUM(C76:C85)</f>
        <v>2132.24</v>
      </c>
      <c r="D75" s="48">
        <f>B75+C75</f>
        <v>2417.95</v>
      </c>
      <c r="E75" s="47">
        <f aca="true" t="shared" si="21" ref="D75:AB75">SUM(E77:E84)</f>
        <v>17567</v>
      </c>
      <c r="F75" s="47">
        <f t="shared" si="21"/>
        <v>878350</v>
      </c>
      <c r="G75" s="47">
        <f t="shared" si="21"/>
        <v>3068</v>
      </c>
      <c r="H75" s="47">
        <f t="shared" si="21"/>
        <v>1534000</v>
      </c>
      <c r="I75" s="47">
        <f t="shared" si="21"/>
        <v>130</v>
      </c>
      <c r="J75" s="47">
        <f t="shared" si="21"/>
        <v>240500</v>
      </c>
      <c r="K75" s="47">
        <f t="shared" si="21"/>
        <v>21</v>
      </c>
      <c r="L75" s="47">
        <f t="shared" si="21"/>
        <v>25200</v>
      </c>
      <c r="M75" s="47">
        <f t="shared" si="21"/>
        <v>54977</v>
      </c>
      <c r="N75" s="47">
        <f t="shared" si="21"/>
        <v>6927102</v>
      </c>
      <c r="O75" s="47">
        <f t="shared" si="21"/>
        <v>649</v>
      </c>
      <c r="P75" s="47">
        <f t="shared" si="21"/>
        <v>518551</v>
      </c>
      <c r="Q75" s="47">
        <f t="shared" si="21"/>
        <v>32</v>
      </c>
      <c r="R75" s="47">
        <f t="shared" si="21"/>
        <v>25216</v>
      </c>
      <c r="S75" s="47">
        <f t="shared" si="21"/>
        <v>43878</v>
      </c>
      <c r="T75" s="47">
        <f t="shared" si="21"/>
        <v>3861264</v>
      </c>
      <c r="U75" s="47">
        <f t="shared" si="21"/>
        <v>646</v>
      </c>
      <c r="V75" s="47">
        <f t="shared" si="21"/>
        <v>125324</v>
      </c>
      <c r="W75" s="47">
        <f t="shared" si="21"/>
        <v>10</v>
      </c>
      <c r="X75" s="47">
        <f t="shared" si="21"/>
        <v>7880</v>
      </c>
      <c r="Y75" s="47">
        <f t="shared" si="21"/>
        <v>100211</v>
      </c>
      <c r="Z75" s="47">
        <f t="shared" si="21"/>
        <v>3607596</v>
      </c>
      <c r="AA75" s="47">
        <f t="shared" si="21"/>
        <v>97723</v>
      </c>
      <c r="AB75" s="47">
        <f t="shared" si="21"/>
        <v>4202089</v>
      </c>
    </row>
    <row r="76" spans="1:28" s="33" customFormat="1" ht="14.25">
      <c r="A76" s="44" t="s">
        <v>105</v>
      </c>
      <c r="B76" s="38">
        <v>0.7</v>
      </c>
      <c r="C76" s="38">
        <v>32.3</v>
      </c>
      <c r="D76" s="38">
        <v>33</v>
      </c>
      <c r="E76" s="38">
        <v>60</v>
      </c>
      <c r="F76" s="38">
        <v>3000</v>
      </c>
      <c r="G76" s="38">
        <v>8</v>
      </c>
      <c r="H76" s="38">
        <v>4000</v>
      </c>
      <c r="I76" s="38">
        <v>0</v>
      </c>
      <c r="J76" s="38">
        <v>0</v>
      </c>
      <c r="K76" s="38">
        <v>0</v>
      </c>
      <c r="L76" s="38">
        <v>0</v>
      </c>
      <c r="M76" s="38">
        <v>208</v>
      </c>
      <c r="N76" s="38">
        <v>26208</v>
      </c>
      <c r="O76" s="38">
        <v>0</v>
      </c>
      <c r="P76" s="38">
        <v>0</v>
      </c>
      <c r="Q76" s="38">
        <v>0</v>
      </c>
      <c r="R76" s="38">
        <v>0</v>
      </c>
      <c r="S76" s="38">
        <v>277</v>
      </c>
      <c r="T76" s="38">
        <v>24376</v>
      </c>
      <c r="U76" s="38">
        <v>0</v>
      </c>
      <c r="V76" s="38">
        <v>0</v>
      </c>
      <c r="W76" s="38">
        <v>0</v>
      </c>
      <c r="X76" s="38">
        <v>0</v>
      </c>
      <c r="Y76" s="38">
        <v>3679</v>
      </c>
      <c r="Z76" s="38">
        <v>132444</v>
      </c>
      <c r="AA76" s="38">
        <v>3253</v>
      </c>
      <c r="AB76" s="38">
        <v>139879</v>
      </c>
    </row>
    <row r="77" spans="1:28" s="33" customFormat="1" ht="14.25">
      <c r="A77" s="44" t="s">
        <v>106</v>
      </c>
      <c r="B77" s="38">
        <f aca="true" t="shared" si="22" ref="B77:B85">ROUNDUP((F77+H77+J77+L77)/10000,2)</f>
        <v>38.03</v>
      </c>
      <c r="C77" s="38">
        <f aca="true" t="shared" si="23" ref="C77:C85">ROUNDUP((N77+P77+R77+T77+V77+X77+Z77+AB77)/10000,2)</f>
        <v>280.53</v>
      </c>
      <c r="D77" s="45">
        <f aca="true" t="shared" si="24" ref="D77:D116">B77+C77</f>
        <v>318.55999999999995</v>
      </c>
      <c r="E77" s="46">
        <v>1266</v>
      </c>
      <c r="F77" s="46">
        <v>63300</v>
      </c>
      <c r="G77" s="46">
        <v>134</v>
      </c>
      <c r="H77" s="46">
        <v>67000</v>
      </c>
      <c r="I77" s="46">
        <v>128</v>
      </c>
      <c r="J77" s="46">
        <v>236800</v>
      </c>
      <c r="K77" s="46">
        <v>11</v>
      </c>
      <c r="L77" s="46">
        <v>13200</v>
      </c>
      <c r="M77" s="46">
        <v>7087</v>
      </c>
      <c r="N77" s="46">
        <v>892962</v>
      </c>
      <c r="O77" s="46">
        <v>648</v>
      </c>
      <c r="P77" s="46">
        <v>517752</v>
      </c>
      <c r="Q77" s="46">
        <v>17</v>
      </c>
      <c r="R77" s="46">
        <v>13396</v>
      </c>
      <c r="S77" s="46">
        <v>5665</v>
      </c>
      <c r="T77" s="46">
        <v>498520</v>
      </c>
      <c r="U77" s="46">
        <v>646</v>
      </c>
      <c r="V77" s="46">
        <v>125324</v>
      </c>
      <c r="W77" s="46">
        <v>1</v>
      </c>
      <c r="X77" s="46">
        <v>788</v>
      </c>
      <c r="Y77" s="46">
        <v>10116</v>
      </c>
      <c r="Z77" s="46">
        <v>364176</v>
      </c>
      <c r="AA77" s="46">
        <v>9123</v>
      </c>
      <c r="AB77" s="46">
        <v>392289</v>
      </c>
    </row>
    <row r="78" spans="1:28" s="33" customFormat="1" ht="14.25">
      <c r="A78" s="44" t="s">
        <v>107</v>
      </c>
      <c r="B78" s="38">
        <f t="shared" si="22"/>
        <v>10.51</v>
      </c>
      <c r="C78" s="38">
        <f t="shared" si="23"/>
        <v>331.01</v>
      </c>
      <c r="D78" s="45">
        <f t="shared" si="24"/>
        <v>341.52</v>
      </c>
      <c r="E78" s="46">
        <v>937</v>
      </c>
      <c r="F78" s="46">
        <v>46850</v>
      </c>
      <c r="G78" s="46">
        <v>114</v>
      </c>
      <c r="H78" s="46">
        <v>57000</v>
      </c>
      <c r="I78" s="46">
        <v>0</v>
      </c>
      <c r="J78" s="46">
        <v>0</v>
      </c>
      <c r="K78" s="46">
        <v>1</v>
      </c>
      <c r="L78" s="46">
        <v>1200</v>
      </c>
      <c r="M78" s="46">
        <v>9494</v>
      </c>
      <c r="N78" s="46">
        <v>1196244</v>
      </c>
      <c r="O78" s="46">
        <v>0</v>
      </c>
      <c r="P78" s="46">
        <v>0</v>
      </c>
      <c r="Q78" s="46">
        <v>5</v>
      </c>
      <c r="R78" s="46">
        <v>3940</v>
      </c>
      <c r="S78" s="46">
        <v>10633</v>
      </c>
      <c r="T78" s="46">
        <v>935704</v>
      </c>
      <c r="U78" s="46">
        <v>0</v>
      </c>
      <c r="V78" s="46">
        <v>0</v>
      </c>
      <c r="W78" s="46">
        <v>3</v>
      </c>
      <c r="X78" s="46">
        <v>2364</v>
      </c>
      <c r="Y78" s="46">
        <v>15294</v>
      </c>
      <c r="Z78" s="46">
        <v>550584</v>
      </c>
      <c r="AA78" s="46">
        <v>14446</v>
      </c>
      <c r="AB78" s="46">
        <v>621178</v>
      </c>
    </row>
    <row r="79" spans="1:28" s="33" customFormat="1" ht="14.25">
      <c r="A79" s="44" t="s">
        <v>108</v>
      </c>
      <c r="B79" s="38">
        <f t="shared" si="22"/>
        <v>2.35</v>
      </c>
      <c r="C79" s="38">
        <f t="shared" si="23"/>
        <v>12.08</v>
      </c>
      <c r="D79" s="45">
        <f t="shared" si="24"/>
        <v>14.43</v>
      </c>
      <c r="E79" s="46">
        <v>190</v>
      </c>
      <c r="F79" s="46">
        <v>9500</v>
      </c>
      <c r="G79" s="46">
        <v>28</v>
      </c>
      <c r="H79" s="46">
        <v>14000</v>
      </c>
      <c r="I79" s="46">
        <v>0</v>
      </c>
      <c r="J79" s="46">
        <v>0</v>
      </c>
      <c r="K79" s="46">
        <v>0</v>
      </c>
      <c r="L79" s="46">
        <v>0</v>
      </c>
      <c r="M79" s="46">
        <v>647</v>
      </c>
      <c r="N79" s="46">
        <v>81522</v>
      </c>
      <c r="O79" s="46">
        <v>0</v>
      </c>
      <c r="P79" s="46">
        <v>0</v>
      </c>
      <c r="Q79" s="46">
        <v>0</v>
      </c>
      <c r="R79" s="46">
        <v>0</v>
      </c>
      <c r="S79" s="46">
        <v>44</v>
      </c>
      <c r="T79" s="46">
        <v>3872</v>
      </c>
      <c r="U79" s="46">
        <v>0</v>
      </c>
      <c r="V79" s="46">
        <v>0</v>
      </c>
      <c r="W79" s="46">
        <v>0</v>
      </c>
      <c r="X79" s="46">
        <v>0</v>
      </c>
      <c r="Y79" s="46">
        <v>454</v>
      </c>
      <c r="Z79" s="46">
        <v>16344</v>
      </c>
      <c r="AA79" s="46">
        <v>443</v>
      </c>
      <c r="AB79" s="46">
        <v>19049</v>
      </c>
    </row>
    <row r="80" spans="1:28" s="33" customFormat="1" ht="14.25">
      <c r="A80" s="44" t="s">
        <v>109</v>
      </c>
      <c r="B80" s="38">
        <f t="shared" si="22"/>
        <v>4.13</v>
      </c>
      <c r="C80" s="38">
        <f t="shared" si="23"/>
        <v>75.74</v>
      </c>
      <c r="D80" s="45">
        <f t="shared" si="24"/>
        <v>79.86999999999999</v>
      </c>
      <c r="E80" s="46">
        <v>685</v>
      </c>
      <c r="F80" s="46">
        <v>34250</v>
      </c>
      <c r="G80" s="46">
        <v>14</v>
      </c>
      <c r="H80" s="46">
        <v>7000</v>
      </c>
      <c r="I80" s="46">
        <v>0</v>
      </c>
      <c r="J80" s="46">
        <v>0</v>
      </c>
      <c r="K80" s="46">
        <v>0</v>
      </c>
      <c r="L80" s="46">
        <v>0</v>
      </c>
      <c r="M80" s="46">
        <v>2261</v>
      </c>
      <c r="N80" s="46">
        <v>284886</v>
      </c>
      <c r="O80" s="46">
        <v>0</v>
      </c>
      <c r="P80" s="46">
        <v>0</v>
      </c>
      <c r="Q80" s="46">
        <v>0</v>
      </c>
      <c r="R80" s="46">
        <v>0</v>
      </c>
      <c r="S80" s="46">
        <v>1802</v>
      </c>
      <c r="T80" s="46">
        <v>158576</v>
      </c>
      <c r="U80" s="46">
        <v>0</v>
      </c>
      <c r="V80" s="46">
        <v>0</v>
      </c>
      <c r="W80" s="46">
        <v>0</v>
      </c>
      <c r="X80" s="46">
        <v>0</v>
      </c>
      <c r="Y80" s="46">
        <v>3969</v>
      </c>
      <c r="Z80" s="46">
        <v>142884</v>
      </c>
      <c r="AA80" s="46">
        <v>3978</v>
      </c>
      <c r="AB80" s="46">
        <v>171054</v>
      </c>
    </row>
    <row r="81" spans="1:28" s="33" customFormat="1" ht="14.25">
      <c r="A81" s="44" t="s">
        <v>110</v>
      </c>
      <c r="B81" s="38">
        <f t="shared" si="22"/>
        <v>85.22</v>
      </c>
      <c r="C81" s="38">
        <f t="shared" si="23"/>
        <v>336.51</v>
      </c>
      <c r="D81" s="45">
        <f t="shared" si="24"/>
        <v>421.73</v>
      </c>
      <c r="E81" s="46">
        <v>5320</v>
      </c>
      <c r="F81" s="46">
        <v>266000</v>
      </c>
      <c r="G81" s="46">
        <v>1170</v>
      </c>
      <c r="H81" s="46">
        <v>585000</v>
      </c>
      <c r="I81" s="46">
        <v>0</v>
      </c>
      <c r="J81" s="46">
        <v>0</v>
      </c>
      <c r="K81" s="46">
        <v>1</v>
      </c>
      <c r="L81" s="46">
        <v>1200</v>
      </c>
      <c r="M81" s="46">
        <v>8340</v>
      </c>
      <c r="N81" s="46">
        <v>1050840</v>
      </c>
      <c r="O81" s="46">
        <v>0</v>
      </c>
      <c r="P81" s="46">
        <v>0</v>
      </c>
      <c r="Q81" s="46">
        <v>3</v>
      </c>
      <c r="R81" s="46">
        <v>2364</v>
      </c>
      <c r="S81" s="46">
        <v>5331</v>
      </c>
      <c r="T81" s="46">
        <v>469128</v>
      </c>
      <c r="U81" s="46">
        <v>0</v>
      </c>
      <c r="V81" s="46">
        <v>0</v>
      </c>
      <c r="W81" s="46">
        <v>2</v>
      </c>
      <c r="X81" s="46">
        <v>1576</v>
      </c>
      <c r="Y81" s="46">
        <v>23311</v>
      </c>
      <c r="Z81" s="46">
        <v>839196</v>
      </c>
      <c r="AA81" s="46">
        <v>23302</v>
      </c>
      <c r="AB81" s="46">
        <v>1001986</v>
      </c>
    </row>
    <row r="82" spans="1:28" s="33" customFormat="1" ht="14.25">
      <c r="A82" s="44" t="s">
        <v>111</v>
      </c>
      <c r="B82" s="38">
        <f t="shared" si="22"/>
        <v>50.52</v>
      </c>
      <c r="C82" s="38">
        <f t="shared" si="23"/>
        <v>370.64</v>
      </c>
      <c r="D82" s="45">
        <f t="shared" si="24"/>
        <v>421.15999999999997</v>
      </c>
      <c r="E82" s="46">
        <v>4287</v>
      </c>
      <c r="F82" s="46">
        <v>214350</v>
      </c>
      <c r="G82" s="46">
        <v>566</v>
      </c>
      <c r="H82" s="46">
        <v>283000</v>
      </c>
      <c r="I82" s="46">
        <v>1</v>
      </c>
      <c r="J82" s="46">
        <v>1850</v>
      </c>
      <c r="K82" s="46">
        <v>5</v>
      </c>
      <c r="L82" s="46">
        <v>6000</v>
      </c>
      <c r="M82" s="46">
        <v>10594</v>
      </c>
      <c r="N82" s="46">
        <v>1334844</v>
      </c>
      <c r="O82" s="46">
        <v>1</v>
      </c>
      <c r="P82" s="46">
        <v>799</v>
      </c>
      <c r="Q82" s="46">
        <v>3</v>
      </c>
      <c r="R82" s="46">
        <v>2364</v>
      </c>
      <c r="S82" s="46">
        <v>8138</v>
      </c>
      <c r="T82" s="46">
        <v>716144</v>
      </c>
      <c r="U82" s="46">
        <v>0</v>
      </c>
      <c r="V82" s="46">
        <v>0</v>
      </c>
      <c r="W82" s="46">
        <v>1</v>
      </c>
      <c r="X82" s="46">
        <v>788</v>
      </c>
      <c r="Y82" s="46">
        <v>20901</v>
      </c>
      <c r="Z82" s="46">
        <v>752436</v>
      </c>
      <c r="AA82" s="46">
        <v>20907</v>
      </c>
      <c r="AB82" s="46">
        <v>899001</v>
      </c>
    </row>
    <row r="83" spans="1:28" s="33" customFormat="1" ht="14.25">
      <c r="A83" s="44" t="s">
        <v>112</v>
      </c>
      <c r="B83" s="38">
        <f t="shared" si="22"/>
        <v>67.38</v>
      </c>
      <c r="C83" s="38">
        <f t="shared" si="23"/>
        <v>316.58</v>
      </c>
      <c r="D83" s="45">
        <f t="shared" si="24"/>
        <v>383.96</v>
      </c>
      <c r="E83" s="46">
        <v>3908</v>
      </c>
      <c r="F83" s="46">
        <v>195400</v>
      </c>
      <c r="G83" s="46">
        <v>952</v>
      </c>
      <c r="H83" s="46">
        <v>476000</v>
      </c>
      <c r="I83" s="46">
        <v>0</v>
      </c>
      <c r="J83" s="46">
        <v>0</v>
      </c>
      <c r="K83" s="46">
        <v>2</v>
      </c>
      <c r="L83" s="46">
        <v>2400</v>
      </c>
      <c r="M83" s="46">
        <v>10129</v>
      </c>
      <c r="N83" s="46">
        <v>1276254</v>
      </c>
      <c r="O83" s="46">
        <v>0</v>
      </c>
      <c r="P83" s="46">
        <v>0</v>
      </c>
      <c r="Q83" s="46">
        <v>3</v>
      </c>
      <c r="R83" s="46">
        <v>2364</v>
      </c>
      <c r="S83" s="46">
        <v>8151</v>
      </c>
      <c r="T83" s="46">
        <v>717288</v>
      </c>
      <c r="U83" s="46">
        <v>0</v>
      </c>
      <c r="V83" s="46">
        <v>0</v>
      </c>
      <c r="W83" s="46">
        <v>3</v>
      </c>
      <c r="X83" s="46">
        <v>2364</v>
      </c>
      <c r="Y83" s="46">
        <v>15130</v>
      </c>
      <c r="Z83" s="46">
        <v>544680</v>
      </c>
      <c r="AA83" s="46">
        <v>14484</v>
      </c>
      <c r="AB83" s="46">
        <v>622812</v>
      </c>
    </row>
    <row r="84" spans="1:28" s="33" customFormat="1" ht="14.25">
      <c r="A84" s="44" t="s">
        <v>113</v>
      </c>
      <c r="B84" s="38">
        <f t="shared" si="22"/>
        <v>9.68</v>
      </c>
      <c r="C84" s="38">
        <f t="shared" si="23"/>
        <v>204.44</v>
      </c>
      <c r="D84" s="45">
        <f t="shared" si="24"/>
        <v>214.12</v>
      </c>
      <c r="E84" s="46">
        <v>974</v>
      </c>
      <c r="F84" s="46">
        <v>48700</v>
      </c>
      <c r="G84" s="46">
        <v>90</v>
      </c>
      <c r="H84" s="46">
        <v>45000</v>
      </c>
      <c r="I84" s="46">
        <v>1</v>
      </c>
      <c r="J84" s="46">
        <v>1850</v>
      </c>
      <c r="K84" s="46">
        <v>1</v>
      </c>
      <c r="L84" s="46">
        <v>1200</v>
      </c>
      <c r="M84" s="46">
        <v>6425</v>
      </c>
      <c r="N84" s="46">
        <v>809550</v>
      </c>
      <c r="O84" s="46">
        <v>0</v>
      </c>
      <c r="P84" s="46">
        <v>0</v>
      </c>
      <c r="Q84" s="46">
        <v>1</v>
      </c>
      <c r="R84" s="46">
        <v>788</v>
      </c>
      <c r="S84" s="46">
        <v>4114</v>
      </c>
      <c r="T84" s="46">
        <v>362032</v>
      </c>
      <c r="U84" s="46">
        <v>0</v>
      </c>
      <c r="V84" s="46">
        <v>0</v>
      </c>
      <c r="W84" s="46">
        <v>0</v>
      </c>
      <c r="X84" s="46">
        <v>0</v>
      </c>
      <c r="Y84" s="46">
        <v>11036</v>
      </c>
      <c r="Z84" s="46">
        <v>397296</v>
      </c>
      <c r="AA84" s="46">
        <v>11040</v>
      </c>
      <c r="AB84" s="46">
        <v>474720</v>
      </c>
    </row>
    <row r="85" spans="1:28" s="33" customFormat="1" ht="14.25">
      <c r="A85" s="44" t="s">
        <v>114</v>
      </c>
      <c r="B85" s="38">
        <f t="shared" si="22"/>
        <v>17.19</v>
      </c>
      <c r="C85" s="38">
        <f t="shared" si="23"/>
        <v>172.41</v>
      </c>
      <c r="D85" s="45">
        <f t="shared" si="24"/>
        <v>189.6</v>
      </c>
      <c r="E85" s="46">
        <v>1856</v>
      </c>
      <c r="F85" s="46">
        <v>92800</v>
      </c>
      <c r="G85" s="46">
        <v>152</v>
      </c>
      <c r="H85" s="46">
        <v>76000</v>
      </c>
      <c r="I85" s="46">
        <v>1</v>
      </c>
      <c r="J85" s="46">
        <v>1850</v>
      </c>
      <c r="K85" s="46">
        <v>1</v>
      </c>
      <c r="L85" s="46">
        <v>1200</v>
      </c>
      <c r="M85" s="46">
        <v>4604</v>
      </c>
      <c r="N85" s="46">
        <v>580104</v>
      </c>
      <c r="O85" s="46">
        <v>0</v>
      </c>
      <c r="P85" s="46">
        <v>0</v>
      </c>
      <c r="Q85" s="46">
        <v>3</v>
      </c>
      <c r="R85" s="46">
        <v>2364</v>
      </c>
      <c r="S85" s="46">
        <v>3277</v>
      </c>
      <c r="T85" s="46">
        <v>288376</v>
      </c>
      <c r="U85" s="46">
        <v>0</v>
      </c>
      <c r="V85" s="46">
        <v>0</v>
      </c>
      <c r="W85" s="46">
        <v>1</v>
      </c>
      <c r="X85" s="46">
        <v>788</v>
      </c>
      <c r="Y85" s="46">
        <v>10863</v>
      </c>
      <c r="Z85" s="46">
        <v>391068</v>
      </c>
      <c r="AA85" s="46">
        <v>10729</v>
      </c>
      <c r="AB85" s="46">
        <v>461347</v>
      </c>
    </row>
    <row r="86" spans="1:28" s="32" customFormat="1" ht="14.25">
      <c r="A86" s="47" t="s">
        <v>115</v>
      </c>
      <c r="B86" s="43">
        <f>SUM(B87:B92)</f>
        <v>636.88</v>
      </c>
      <c r="C86" s="43">
        <f>SUM(C87:C92)</f>
        <v>2089.9700000000003</v>
      </c>
      <c r="D86" s="48">
        <f t="shared" si="24"/>
        <v>2726.8500000000004</v>
      </c>
      <c r="E86" s="47">
        <f aca="true" t="shared" si="25" ref="D86:AB86">SUM(E87:E89)</f>
        <v>12336</v>
      </c>
      <c r="F86" s="47">
        <f t="shared" si="25"/>
        <v>616800</v>
      </c>
      <c r="G86" s="47">
        <f t="shared" si="25"/>
        <v>3168</v>
      </c>
      <c r="H86" s="47">
        <f t="shared" si="25"/>
        <v>1584000</v>
      </c>
      <c r="I86" s="47">
        <f t="shared" si="25"/>
        <v>933</v>
      </c>
      <c r="J86" s="47">
        <f t="shared" si="25"/>
        <v>1726050</v>
      </c>
      <c r="K86" s="47">
        <f t="shared" si="25"/>
        <v>26</v>
      </c>
      <c r="L86" s="47">
        <f t="shared" si="25"/>
        <v>31200</v>
      </c>
      <c r="M86" s="47">
        <f t="shared" si="25"/>
        <v>24416</v>
      </c>
      <c r="N86" s="47">
        <f t="shared" si="25"/>
        <v>3076416</v>
      </c>
      <c r="O86" s="47">
        <f t="shared" si="25"/>
        <v>769</v>
      </c>
      <c r="P86" s="47">
        <f t="shared" si="25"/>
        <v>614431</v>
      </c>
      <c r="Q86" s="47">
        <f t="shared" si="25"/>
        <v>24</v>
      </c>
      <c r="R86" s="47">
        <f t="shared" si="25"/>
        <v>18912</v>
      </c>
      <c r="S86" s="47">
        <f t="shared" si="25"/>
        <v>22001</v>
      </c>
      <c r="T86" s="47">
        <f t="shared" si="25"/>
        <v>1936088</v>
      </c>
      <c r="U86" s="47">
        <f t="shared" si="25"/>
        <v>31</v>
      </c>
      <c r="V86" s="47">
        <f t="shared" si="25"/>
        <v>6014</v>
      </c>
      <c r="W86" s="47">
        <f t="shared" si="25"/>
        <v>15</v>
      </c>
      <c r="X86" s="47">
        <f t="shared" si="25"/>
        <v>11820</v>
      </c>
      <c r="Y86" s="47">
        <f t="shared" si="25"/>
        <v>35130</v>
      </c>
      <c r="Z86" s="47">
        <f t="shared" si="25"/>
        <v>1264680</v>
      </c>
      <c r="AA86" s="47">
        <f t="shared" si="25"/>
        <v>34611</v>
      </c>
      <c r="AB86" s="47">
        <f t="shared" si="25"/>
        <v>1488273</v>
      </c>
    </row>
    <row r="87" spans="1:28" s="33" customFormat="1" ht="14.25">
      <c r="A87" s="44" t="s">
        <v>116</v>
      </c>
      <c r="B87" s="38">
        <f aca="true" t="shared" si="26" ref="B87:B92">ROUNDUP((F87+H87+J87+L87)/10000,2)</f>
        <v>79.92</v>
      </c>
      <c r="C87" s="38">
        <f aca="true" t="shared" si="27" ref="C87:C92">ROUNDUP((N87+P87+R87+T87+V87+X87+Z87+AB87)/10000,2)</f>
        <v>0</v>
      </c>
      <c r="D87" s="45">
        <f t="shared" si="24"/>
        <v>79.92</v>
      </c>
      <c r="E87" s="46"/>
      <c r="F87" s="46"/>
      <c r="G87" s="46"/>
      <c r="H87" s="46"/>
      <c r="I87" s="46">
        <v>432</v>
      </c>
      <c r="J87" s="46">
        <v>799200</v>
      </c>
      <c r="K87" s="46"/>
      <c r="L87" s="46"/>
      <c r="M87" s="46"/>
      <c r="N87" s="46"/>
      <c r="O87" s="46"/>
      <c r="P87" s="46"/>
      <c r="Q87" s="46"/>
      <c r="R87" s="46"/>
      <c r="S87" s="46"/>
      <c r="T87" s="46"/>
      <c r="U87" s="46"/>
      <c r="V87" s="46"/>
      <c r="W87" s="46"/>
      <c r="X87" s="46"/>
      <c r="Y87" s="46"/>
      <c r="Z87" s="46"/>
      <c r="AA87" s="46"/>
      <c r="AB87" s="46"/>
    </row>
    <row r="88" spans="1:28" s="33" customFormat="1" ht="14.25">
      <c r="A88" s="44" t="s">
        <v>117</v>
      </c>
      <c r="B88" s="38">
        <f t="shared" si="26"/>
        <v>189.55</v>
      </c>
      <c r="C88" s="38">
        <f t="shared" si="27"/>
        <v>501.53</v>
      </c>
      <c r="D88" s="45">
        <f t="shared" si="24"/>
        <v>691.0799999999999</v>
      </c>
      <c r="E88" s="46">
        <v>5929</v>
      </c>
      <c r="F88" s="46">
        <v>296450</v>
      </c>
      <c r="G88" s="46">
        <v>1385</v>
      </c>
      <c r="H88" s="46">
        <v>692500</v>
      </c>
      <c r="I88" s="46">
        <v>490</v>
      </c>
      <c r="J88" s="46">
        <v>906500</v>
      </c>
      <c r="K88" s="46">
        <v>0</v>
      </c>
      <c r="L88" s="46">
        <v>0</v>
      </c>
      <c r="M88" s="46">
        <v>14871</v>
      </c>
      <c r="N88" s="46">
        <v>1873746</v>
      </c>
      <c r="O88" s="46">
        <v>503</v>
      </c>
      <c r="P88" s="46">
        <v>401897</v>
      </c>
      <c r="Q88" s="46">
        <v>13</v>
      </c>
      <c r="R88" s="46">
        <v>10244</v>
      </c>
      <c r="S88" s="46">
        <v>12758</v>
      </c>
      <c r="T88" s="46">
        <v>1122704</v>
      </c>
      <c r="U88" s="46">
        <v>31</v>
      </c>
      <c r="V88" s="46">
        <v>6014</v>
      </c>
      <c r="W88" s="46">
        <v>14</v>
      </c>
      <c r="X88" s="46">
        <v>11032</v>
      </c>
      <c r="Y88" s="46">
        <v>20401</v>
      </c>
      <c r="Z88" s="46">
        <v>734436</v>
      </c>
      <c r="AA88" s="46">
        <v>19889</v>
      </c>
      <c r="AB88" s="46">
        <v>855227</v>
      </c>
    </row>
    <row r="89" spans="1:28" s="33" customFormat="1" ht="14.25">
      <c r="A89" s="44" t="s">
        <v>118</v>
      </c>
      <c r="B89" s="38">
        <f t="shared" si="26"/>
        <v>126.34</v>
      </c>
      <c r="C89" s="38">
        <f t="shared" si="27"/>
        <v>340.14</v>
      </c>
      <c r="D89" s="45">
        <f t="shared" si="24"/>
        <v>466.48</v>
      </c>
      <c r="E89" s="46">
        <v>6407</v>
      </c>
      <c r="F89" s="46">
        <v>320350</v>
      </c>
      <c r="G89" s="46">
        <v>1783</v>
      </c>
      <c r="H89" s="46">
        <v>891500</v>
      </c>
      <c r="I89" s="46">
        <v>11</v>
      </c>
      <c r="J89" s="46">
        <v>20350</v>
      </c>
      <c r="K89" s="46">
        <v>26</v>
      </c>
      <c r="L89" s="46">
        <v>31200</v>
      </c>
      <c r="M89" s="46">
        <v>9545</v>
      </c>
      <c r="N89" s="46">
        <v>1202670</v>
      </c>
      <c r="O89" s="46">
        <v>266</v>
      </c>
      <c r="P89" s="46">
        <v>212534</v>
      </c>
      <c r="Q89" s="46">
        <v>11</v>
      </c>
      <c r="R89" s="46">
        <v>8668</v>
      </c>
      <c r="S89" s="46">
        <v>9243</v>
      </c>
      <c r="T89" s="46">
        <v>813384</v>
      </c>
      <c r="U89" s="46">
        <v>0</v>
      </c>
      <c r="V89" s="46">
        <v>0</v>
      </c>
      <c r="W89" s="46">
        <v>1</v>
      </c>
      <c r="X89" s="46">
        <v>788</v>
      </c>
      <c r="Y89" s="46">
        <v>14729</v>
      </c>
      <c r="Z89" s="46">
        <v>530244</v>
      </c>
      <c r="AA89" s="46">
        <v>14722</v>
      </c>
      <c r="AB89" s="46">
        <v>633046</v>
      </c>
    </row>
    <row r="90" spans="1:28" s="33" customFormat="1" ht="14.25">
      <c r="A90" s="44" t="s">
        <v>119</v>
      </c>
      <c r="B90" s="38">
        <f t="shared" si="26"/>
        <v>114.24</v>
      </c>
      <c r="C90" s="38">
        <f t="shared" si="27"/>
        <v>461.05</v>
      </c>
      <c r="D90" s="45">
        <f t="shared" si="24"/>
        <v>575.29</v>
      </c>
      <c r="E90" s="46">
        <v>5656</v>
      </c>
      <c r="F90" s="46">
        <v>282800</v>
      </c>
      <c r="G90" s="46">
        <v>1688</v>
      </c>
      <c r="H90" s="46">
        <v>844000</v>
      </c>
      <c r="I90" s="46">
        <v>0</v>
      </c>
      <c r="J90" s="46">
        <v>0</v>
      </c>
      <c r="K90" s="46">
        <v>13</v>
      </c>
      <c r="L90" s="46">
        <v>15600</v>
      </c>
      <c r="M90" s="46">
        <v>12729</v>
      </c>
      <c r="N90" s="46">
        <v>1603854</v>
      </c>
      <c r="O90" s="46">
        <v>548</v>
      </c>
      <c r="P90" s="46">
        <v>437852</v>
      </c>
      <c r="Q90" s="46">
        <v>1</v>
      </c>
      <c r="R90" s="46">
        <v>788</v>
      </c>
      <c r="S90" s="46">
        <v>10772</v>
      </c>
      <c r="T90" s="46">
        <v>947936</v>
      </c>
      <c r="U90" s="46">
        <v>2</v>
      </c>
      <c r="V90" s="46">
        <v>388</v>
      </c>
      <c r="W90" s="46">
        <v>1</v>
      </c>
      <c r="X90" s="46">
        <v>788</v>
      </c>
      <c r="Y90" s="46">
        <v>20495</v>
      </c>
      <c r="Z90" s="46">
        <v>737820</v>
      </c>
      <c r="AA90" s="46">
        <v>20489</v>
      </c>
      <c r="AB90" s="46">
        <v>881027</v>
      </c>
    </row>
    <row r="91" spans="1:28" s="33" customFormat="1" ht="14.25">
      <c r="A91" s="44" t="s">
        <v>120</v>
      </c>
      <c r="B91" s="38">
        <f t="shared" si="26"/>
        <v>53.92</v>
      </c>
      <c r="C91" s="38">
        <f t="shared" si="27"/>
        <v>364.19</v>
      </c>
      <c r="D91" s="45">
        <f t="shared" si="24"/>
        <v>418.11</v>
      </c>
      <c r="E91" s="46">
        <v>3173</v>
      </c>
      <c r="F91" s="46">
        <v>158650</v>
      </c>
      <c r="G91" s="46">
        <v>656</v>
      </c>
      <c r="H91" s="46">
        <v>328000</v>
      </c>
      <c r="I91" s="46">
        <v>18</v>
      </c>
      <c r="J91" s="46">
        <v>33300</v>
      </c>
      <c r="K91" s="46">
        <v>16</v>
      </c>
      <c r="L91" s="46">
        <v>19200</v>
      </c>
      <c r="M91" s="46">
        <v>10636</v>
      </c>
      <c r="N91" s="46">
        <v>1340136</v>
      </c>
      <c r="O91" s="46">
        <v>73</v>
      </c>
      <c r="P91" s="46">
        <v>58327</v>
      </c>
      <c r="Q91" s="46">
        <v>3</v>
      </c>
      <c r="R91" s="46">
        <v>2364</v>
      </c>
      <c r="S91" s="46">
        <v>8184</v>
      </c>
      <c r="T91" s="46">
        <v>720192</v>
      </c>
      <c r="U91" s="46">
        <v>3</v>
      </c>
      <c r="V91" s="46">
        <v>582</v>
      </c>
      <c r="W91" s="46">
        <v>0</v>
      </c>
      <c r="X91" s="46">
        <v>0</v>
      </c>
      <c r="Y91" s="46">
        <v>19253</v>
      </c>
      <c r="Z91" s="46">
        <v>693108</v>
      </c>
      <c r="AA91" s="46">
        <v>19237</v>
      </c>
      <c r="AB91" s="46">
        <v>827191</v>
      </c>
    </row>
    <row r="92" spans="1:28" s="33" customFormat="1" ht="14.25">
      <c r="A92" s="44" t="s">
        <v>121</v>
      </c>
      <c r="B92" s="38">
        <f t="shared" si="26"/>
        <v>72.91</v>
      </c>
      <c r="C92" s="38">
        <f t="shared" si="27"/>
        <v>423.06</v>
      </c>
      <c r="D92" s="45">
        <f t="shared" si="24"/>
        <v>495.97</v>
      </c>
      <c r="E92" s="46">
        <v>5001</v>
      </c>
      <c r="F92" s="46">
        <v>250050</v>
      </c>
      <c r="G92" s="46">
        <v>958</v>
      </c>
      <c r="H92" s="46">
        <v>479000</v>
      </c>
      <c r="I92" s="46">
        <v>0</v>
      </c>
      <c r="J92" s="46">
        <v>0</v>
      </c>
      <c r="K92" s="46">
        <v>0</v>
      </c>
      <c r="L92" s="46">
        <v>0</v>
      </c>
      <c r="M92" s="46">
        <v>12187</v>
      </c>
      <c r="N92" s="46">
        <v>1535562</v>
      </c>
      <c r="O92" s="46">
        <v>378</v>
      </c>
      <c r="P92" s="46">
        <v>302022</v>
      </c>
      <c r="Q92" s="46">
        <v>2</v>
      </c>
      <c r="R92" s="46">
        <v>1576</v>
      </c>
      <c r="S92" s="46">
        <v>11161</v>
      </c>
      <c r="T92" s="46">
        <v>982168</v>
      </c>
      <c r="U92" s="46">
        <v>21</v>
      </c>
      <c r="V92" s="46">
        <v>4074</v>
      </c>
      <c r="W92" s="46">
        <v>2</v>
      </c>
      <c r="X92" s="46">
        <v>1576</v>
      </c>
      <c r="Y92" s="46">
        <v>17804</v>
      </c>
      <c r="Z92" s="46">
        <v>640944</v>
      </c>
      <c r="AA92" s="46">
        <v>17735</v>
      </c>
      <c r="AB92" s="46">
        <v>762605</v>
      </c>
    </row>
    <row r="93" spans="1:28" s="32" customFormat="1" ht="14.25">
      <c r="A93" s="47" t="s">
        <v>122</v>
      </c>
      <c r="B93" s="43">
        <f>SUM(B94:B102)</f>
        <v>214.46</v>
      </c>
      <c r="C93" s="43">
        <f>SUM(C94:C102)</f>
        <v>964.6000000000001</v>
      </c>
      <c r="D93" s="48">
        <f t="shared" si="24"/>
        <v>1179.0600000000002</v>
      </c>
      <c r="E93" s="47">
        <f aca="true" t="shared" si="28" ref="D93:AB93">SUM(E94:E97)</f>
        <v>2819</v>
      </c>
      <c r="F93" s="47">
        <f t="shared" si="28"/>
        <v>140950</v>
      </c>
      <c r="G93" s="47">
        <f t="shared" si="28"/>
        <v>336</v>
      </c>
      <c r="H93" s="47">
        <f t="shared" si="28"/>
        <v>168000</v>
      </c>
      <c r="I93" s="47">
        <f t="shared" si="28"/>
        <v>85</v>
      </c>
      <c r="J93" s="47">
        <f t="shared" si="28"/>
        <v>157250</v>
      </c>
      <c r="K93" s="47">
        <f t="shared" si="28"/>
        <v>22</v>
      </c>
      <c r="L93" s="47">
        <f t="shared" si="28"/>
        <v>26400</v>
      </c>
      <c r="M93" s="47">
        <f t="shared" si="28"/>
        <v>12084</v>
      </c>
      <c r="N93" s="47">
        <f t="shared" si="28"/>
        <v>1522584</v>
      </c>
      <c r="O93" s="47">
        <f t="shared" si="28"/>
        <v>83</v>
      </c>
      <c r="P93" s="47">
        <f t="shared" si="28"/>
        <v>66317</v>
      </c>
      <c r="Q93" s="47">
        <f t="shared" si="28"/>
        <v>19</v>
      </c>
      <c r="R93" s="47">
        <f t="shared" si="28"/>
        <v>14972</v>
      </c>
      <c r="S93" s="47">
        <f t="shared" si="28"/>
        <v>12233</v>
      </c>
      <c r="T93" s="47">
        <f t="shared" si="28"/>
        <v>1076504</v>
      </c>
      <c r="U93" s="47">
        <f t="shared" si="28"/>
        <v>18</v>
      </c>
      <c r="V93" s="47">
        <f t="shared" si="28"/>
        <v>3492</v>
      </c>
      <c r="W93" s="47">
        <f t="shared" si="28"/>
        <v>27</v>
      </c>
      <c r="X93" s="47">
        <f t="shared" si="28"/>
        <v>21276</v>
      </c>
      <c r="Y93" s="47">
        <f t="shared" si="28"/>
        <v>16790</v>
      </c>
      <c r="Z93" s="47">
        <f t="shared" si="28"/>
        <v>604440</v>
      </c>
      <c r="AA93" s="47">
        <f t="shared" si="28"/>
        <v>16328</v>
      </c>
      <c r="AB93" s="47">
        <f t="shared" si="28"/>
        <v>702104</v>
      </c>
    </row>
    <row r="94" spans="1:28" s="33" customFormat="1" ht="14.25">
      <c r="A94" s="44" t="s">
        <v>123</v>
      </c>
      <c r="B94" s="38">
        <f aca="true" t="shared" si="29" ref="B94:B102">ROUNDUP((F94+H94+J94+L94)/10000,2)</f>
        <v>3.25</v>
      </c>
      <c r="C94" s="38">
        <f aca="true" t="shared" si="30" ref="C94:C102">ROUNDUP((N94+P94+R94+T94+V94+X94+Z94+AB94)/10000,2)</f>
        <v>26.72</v>
      </c>
      <c r="D94" s="45">
        <f t="shared" si="24"/>
        <v>29.97</v>
      </c>
      <c r="E94" s="46">
        <v>125</v>
      </c>
      <c r="F94" s="46">
        <v>6250</v>
      </c>
      <c r="G94" s="46">
        <v>34</v>
      </c>
      <c r="H94" s="46">
        <v>17000</v>
      </c>
      <c r="I94" s="46">
        <v>5</v>
      </c>
      <c r="J94" s="46">
        <v>9250</v>
      </c>
      <c r="K94" s="46">
        <v>0</v>
      </c>
      <c r="L94" s="46">
        <v>0</v>
      </c>
      <c r="M94" s="46">
        <v>1070</v>
      </c>
      <c r="N94" s="46">
        <v>134820</v>
      </c>
      <c r="O94" s="46">
        <v>0</v>
      </c>
      <c r="P94" s="46">
        <v>0</v>
      </c>
      <c r="Q94" s="46">
        <v>0</v>
      </c>
      <c r="R94" s="46">
        <v>0</v>
      </c>
      <c r="S94" s="46">
        <v>711</v>
      </c>
      <c r="T94" s="46">
        <v>62568</v>
      </c>
      <c r="U94" s="46">
        <v>0</v>
      </c>
      <c r="V94" s="46">
        <v>0</v>
      </c>
      <c r="W94" s="46">
        <v>0</v>
      </c>
      <c r="X94" s="46">
        <v>0</v>
      </c>
      <c r="Y94" s="46">
        <v>887</v>
      </c>
      <c r="Z94" s="46">
        <v>31932</v>
      </c>
      <c r="AA94" s="46">
        <v>880</v>
      </c>
      <c r="AB94" s="46">
        <v>37840</v>
      </c>
    </row>
    <row r="95" spans="1:28" s="33" customFormat="1" ht="14.25">
      <c r="A95" s="44" t="s">
        <v>124</v>
      </c>
      <c r="B95" s="38">
        <f t="shared" si="29"/>
        <v>13.16</v>
      </c>
      <c r="C95" s="38">
        <f t="shared" si="30"/>
        <v>263.61</v>
      </c>
      <c r="D95" s="45">
        <f t="shared" si="24"/>
        <v>276.77000000000004</v>
      </c>
      <c r="E95" s="46">
        <v>439</v>
      </c>
      <c r="F95" s="46">
        <v>21950</v>
      </c>
      <c r="G95" s="46">
        <v>83</v>
      </c>
      <c r="H95" s="46">
        <v>41500</v>
      </c>
      <c r="I95" s="46">
        <v>31</v>
      </c>
      <c r="J95" s="46">
        <v>57350</v>
      </c>
      <c r="K95" s="46">
        <v>9</v>
      </c>
      <c r="L95" s="46">
        <v>10800</v>
      </c>
      <c r="M95" s="46">
        <v>8227</v>
      </c>
      <c r="N95" s="46">
        <v>1036602</v>
      </c>
      <c r="O95" s="46">
        <v>35</v>
      </c>
      <c r="P95" s="46">
        <v>27965</v>
      </c>
      <c r="Q95" s="46">
        <v>15</v>
      </c>
      <c r="R95" s="46">
        <v>11820</v>
      </c>
      <c r="S95" s="46">
        <v>8646</v>
      </c>
      <c r="T95" s="46">
        <v>760848</v>
      </c>
      <c r="U95" s="46">
        <v>17</v>
      </c>
      <c r="V95" s="46">
        <v>3298</v>
      </c>
      <c r="W95" s="46">
        <v>25</v>
      </c>
      <c r="X95" s="46">
        <v>19700</v>
      </c>
      <c r="Y95" s="46">
        <v>9960</v>
      </c>
      <c r="Z95" s="46">
        <v>358560</v>
      </c>
      <c r="AA95" s="46">
        <v>9703</v>
      </c>
      <c r="AB95" s="46">
        <v>417229</v>
      </c>
    </row>
    <row r="96" spans="1:28" s="33" customFormat="1" ht="14.25">
      <c r="A96" s="44" t="s">
        <v>125</v>
      </c>
      <c r="B96" s="38">
        <f t="shared" si="29"/>
        <v>7.69</v>
      </c>
      <c r="C96" s="38">
        <f t="shared" si="30"/>
        <v>19.61</v>
      </c>
      <c r="D96" s="45">
        <f t="shared" si="24"/>
        <v>27.3</v>
      </c>
      <c r="E96" s="46">
        <v>308</v>
      </c>
      <c r="F96" s="46">
        <v>15400</v>
      </c>
      <c r="G96" s="46">
        <v>32</v>
      </c>
      <c r="H96" s="46">
        <v>16000</v>
      </c>
      <c r="I96" s="46">
        <v>22</v>
      </c>
      <c r="J96" s="46">
        <v>40700</v>
      </c>
      <c r="K96" s="46">
        <v>4</v>
      </c>
      <c r="L96" s="46">
        <v>4800</v>
      </c>
      <c r="M96" s="46">
        <v>677</v>
      </c>
      <c r="N96" s="46">
        <v>85302</v>
      </c>
      <c r="O96" s="46">
        <v>16</v>
      </c>
      <c r="P96" s="46">
        <v>12784</v>
      </c>
      <c r="Q96" s="46">
        <v>1</v>
      </c>
      <c r="R96" s="46">
        <v>788</v>
      </c>
      <c r="S96" s="46">
        <v>618</v>
      </c>
      <c r="T96" s="46">
        <v>54384</v>
      </c>
      <c r="U96" s="46">
        <v>0</v>
      </c>
      <c r="V96" s="46">
        <v>0</v>
      </c>
      <c r="W96" s="46">
        <v>1</v>
      </c>
      <c r="X96" s="46">
        <v>788</v>
      </c>
      <c r="Y96" s="46">
        <v>532</v>
      </c>
      <c r="Z96" s="46">
        <v>19152</v>
      </c>
      <c r="AA96" s="46">
        <v>532</v>
      </c>
      <c r="AB96" s="46">
        <v>22876</v>
      </c>
    </row>
    <row r="97" spans="1:28" s="33" customFormat="1" ht="14.25">
      <c r="A97" s="44" t="s">
        <v>126</v>
      </c>
      <c r="B97" s="38">
        <f t="shared" si="29"/>
        <v>25.16</v>
      </c>
      <c r="C97" s="38">
        <f t="shared" si="30"/>
        <v>91.25</v>
      </c>
      <c r="D97" s="45">
        <f t="shared" si="24"/>
        <v>116.41</v>
      </c>
      <c r="E97" s="46">
        <v>1947</v>
      </c>
      <c r="F97" s="46">
        <v>97350</v>
      </c>
      <c r="G97" s="46">
        <v>187</v>
      </c>
      <c r="H97" s="46">
        <v>93500</v>
      </c>
      <c r="I97" s="46">
        <v>27</v>
      </c>
      <c r="J97" s="46">
        <v>49950</v>
      </c>
      <c r="K97" s="46">
        <v>9</v>
      </c>
      <c r="L97" s="46">
        <v>10800</v>
      </c>
      <c r="M97" s="46">
        <v>2110</v>
      </c>
      <c r="N97" s="46">
        <v>265860</v>
      </c>
      <c r="O97" s="46">
        <v>32</v>
      </c>
      <c r="P97" s="46">
        <v>25568</v>
      </c>
      <c r="Q97" s="46">
        <v>3</v>
      </c>
      <c r="R97" s="46">
        <v>2364</v>
      </c>
      <c r="S97" s="46">
        <v>2258</v>
      </c>
      <c r="T97" s="46">
        <v>198704</v>
      </c>
      <c r="U97" s="46">
        <v>1</v>
      </c>
      <c r="V97" s="46">
        <v>194</v>
      </c>
      <c r="W97" s="46">
        <v>1</v>
      </c>
      <c r="X97" s="46">
        <v>788</v>
      </c>
      <c r="Y97" s="46">
        <v>5411</v>
      </c>
      <c r="Z97" s="46">
        <v>194796</v>
      </c>
      <c r="AA97" s="46">
        <v>5213</v>
      </c>
      <c r="AB97" s="46">
        <v>224159</v>
      </c>
    </row>
    <row r="98" spans="1:28" s="33" customFormat="1" ht="14.25">
      <c r="A98" s="44" t="s">
        <v>127</v>
      </c>
      <c r="B98" s="38">
        <f t="shared" si="29"/>
        <v>37.73</v>
      </c>
      <c r="C98" s="38">
        <f t="shared" si="30"/>
        <v>146.87</v>
      </c>
      <c r="D98" s="45">
        <f t="shared" si="24"/>
        <v>184.6</v>
      </c>
      <c r="E98" s="46">
        <v>2552</v>
      </c>
      <c r="F98" s="46">
        <v>127600</v>
      </c>
      <c r="G98" s="46">
        <v>246</v>
      </c>
      <c r="H98" s="46">
        <v>123000</v>
      </c>
      <c r="I98" s="46">
        <v>62</v>
      </c>
      <c r="J98" s="46">
        <v>114700</v>
      </c>
      <c r="K98" s="46">
        <v>10</v>
      </c>
      <c r="L98" s="46">
        <v>12000</v>
      </c>
      <c r="M98" s="46">
        <v>4494</v>
      </c>
      <c r="N98" s="46">
        <v>566244</v>
      </c>
      <c r="O98" s="46">
        <v>23</v>
      </c>
      <c r="P98" s="46">
        <v>18377</v>
      </c>
      <c r="Q98" s="46">
        <v>2</v>
      </c>
      <c r="R98" s="46">
        <v>1576</v>
      </c>
      <c r="S98" s="46">
        <v>4497</v>
      </c>
      <c r="T98" s="46">
        <v>395736</v>
      </c>
      <c r="U98" s="46">
        <v>1</v>
      </c>
      <c r="V98" s="46">
        <v>194</v>
      </c>
      <c r="W98" s="46">
        <v>0</v>
      </c>
      <c r="X98" s="46">
        <v>0</v>
      </c>
      <c r="Y98" s="46">
        <v>6240</v>
      </c>
      <c r="Z98" s="46">
        <v>224640</v>
      </c>
      <c r="AA98" s="46">
        <v>6090</v>
      </c>
      <c r="AB98" s="46">
        <v>261870</v>
      </c>
    </row>
    <row r="99" spans="1:28" s="33" customFormat="1" ht="14.25">
      <c r="A99" s="44" t="s">
        <v>128</v>
      </c>
      <c r="B99" s="38">
        <f t="shared" si="29"/>
        <v>32.57</v>
      </c>
      <c r="C99" s="38">
        <f t="shared" si="30"/>
        <v>88.27</v>
      </c>
      <c r="D99" s="45">
        <f t="shared" si="24"/>
        <v>120.84</v>
      </c>
      <c r="E99" s="46">
        <v>1628</v>
      </c>
      <c r="F99" s="46">
        <v>81400</v>
      </c>
      <c r="G99" s="46">
        <v>320</v>
      </c>
      <c r="H99" s="46">
        <v>160000</v>
      </c>
      <c r="I99" s="46">
        <v>41</v>
      </c>
      <c r="J99" s="46">
        <v>75850</v>
      </c>
      <c r="K99" s="46">
        <v>7</v>
      </c>
      <c r="L99" s="46">
        <v>8400</v>
      </c>
      <c r="M99" s="46">
        <v>2755</v>
      </c>
      <c r="N99" s="46">
        <v>347130</v>
      </c>
      <c r="O99" s="46">
        <v>36</v>
      </c>
      <c r="P99" s="46">
        <v>28764</v>
      </c>
      <c r="Q99" s="46">
        <v>2</v>
      </c>
      <c r="R99" s="46">
        <v>1576</v>
      </c>
      <c r="S99" s="46">
        <v>2584</v>
      </c>
      <c r="T99" s="46">
        <v>227392</v>
      </c>
      <c r="U99" s="46">
        <v>0</v>
      </c>
      <c r="V99" s="46">
        <v>0</v>
      </c>
      <c r="W99" s="46">
        <v>0</v>
      </c>
      <c r="X99" s="46">
        <v>0</v>
      </c>
      <c r="Y99" s="46">
        <v>3552</v>
      </c>
      <c r="Z99" s="46">
        <v>127872</v>
      </c>
      <c r="AA99" s="46">
        <v>3486</v>
      </c>
      <c r="AB99" s="46">
        <v>149898</v>
      </c>
    </row>
    <row r="100" spans="1:28" s="33" customFormat="1" ht="14.25">
      <c r="A100" s="44" t="s">
        <v>129</v>
      </c>
      <c r="B100" s="38">
        <f t="shared" si="29"/>
        <v>18.42</v>
      </c>
      <c r="C100" s="38">
        <f t="shared" si="30"/>
        <v>72.52</v>
      </c>
      <c r="D100" s="45">
        <f t="shared" si="24"/>
        <v>90.94</v>
      </c>
      <c r="E100" s="46">
        <v>829</v>
      </c>
      <c r="F100" s="46">
        <v>41450</v>
      </c>
      <c r="G100" s="46">
        <v>144</v>
      </c>
      <c r="H100" s="46">
        <v>72000</v>
      </c>
      <c r="I100" s="46">
        <v>35</v>
      </c>
      <c r="J100" s="46">
        <v>64750</v>
      </c>
      <c r="K100" s="46">
        <v>5</v>
      </c>
      <c r="L100" s="46">
        <v>6000</v>
      </c>
      <c r="M100" s="46">
        <v>2239</v>
      </c>
      <c r="N100" s="46">
        <v>282114</v>
      </c>
      <c r="O100" s="46">
        <v>57</v>
      </c>
      <c r="P100" s="46">
        <v>45543</v>
      </c>
      <c r="Q100" s="46">
        <v>8</v>
      </c>
      <c r="R100" s="46">
        <v>6304</v>
      </c>
      <c r="S100" s="46">
        <v>1620</v>
      </c>
      <c r="T100" s="46">
        <v>142560</v>
      </c>
      <c r="U100" s="46">
        <v>2</v>
      </c>
      <c r="V100" s="46">
        <v>388</v>
      </c>
      <c r="W100" s="46">
        <v>2</v>
      </c>
      <c r="X100" s="46">
        <v>1576</v>
      </c>
      <c r="Y100" s="46">
        <v>3344</v>
      </c>
      <c r="Z100" s="46">
        <v>120384</v>
      </c>
      <c r="AA100" s="46">
        <v>2936</v>
      </c>
      <c r="AB100" s="46">
        <v>126248</v>
      </c>
    </row>
    <row r="101" spans="1:28" s="33" customFormat="1" ht="14.25">
      <c r="A101" s="44" t="s">
        <v>130</v>
      </c>
      <c r="B101" s="38">
        <f t="shared" si="29"/>
        <v>16.98</v>
      </c>
      <c r="C101" s="38">
        <f t="shared" si="30"/>
        <v>54.07</v>
      </c>
      <c r="D101" s="45">
        <f t="shared" si="24"/>
        <v>71.05</v>
      </c>
      <c r="E101" s="46">
        <v>1090</v>
      </c>
      <c r="F101" s="46">
        <v>54500</v>
      </c>
      <c r="G101" s="46">
        <v>142</v>
      </c>
      <c r="H101" s="46">
        <v>71000</v>
      </c>
      <c r="I101" s="46">
        <v>22</v>
      </c>
      <c r="J101" s="46">
        <v>40700</v>
      </c>
      <c r="K101" s="46">
        <v>3</v>
      </c>
      <c r="L101" s="46">
        <v>3600</v>
      </c>
      <c r="M101" s="46">
        <v>1711</v>
      </c>
      <c r="N101" s="46">
        <v>215586</v>
      </c>
      <c r="O101" s="46">
        <v>16</v>
      </c>
      <c r="P101" s="46">
        <v>12784</v>
      </c>
      <c r="Q101" s="46">
        <v>2</v>
      </c>
      <c r="R101" s="46">
        <v>1576</v>
      </c>
      <c r="S101" s="46">
        <v>1278</v>
      </c>
      <c r="T101" s="46">
        <v>112464</v>
      </c>
      <c r="U101" s="46">
        <v>0</v>
      </c>
      <c r="V101" s="46">
        <v>0</v>
      </c>
      <c r="W101" s="46">
        <v>0</v>
      </c>
      <c r="X101" s="46">
        <v>0</v>
      </c>
      <c r="Y101" s="46">
        <v>2523</v>
      </c>
      <c r="Z101" s="46">
        <v>90828</v>
      </c>
      <c r="AA101" s="46">
        <v>2498</v>
      </c>
      <c r="AB101" s="46">
        <v>107414</v>
      </c>
    </row>
    <row r="102" spans="1:28" s="33" customFormat="1" ht="14.25">
      <c r="A102" s="44" t="s">
        <v>131</v>
      </c>
      <c r="B102" s="38">
        <f t="shared" si="29"/>
        <v>59.5</v>
      </c>
      <c r="C102" s="38">
        <f t="shared" si="30"/>
        <v>201.68</v>
      </c>
      <c r="D102" s="45">
        <f t="shared" si="24"/>
        <v>261.18</v>
      </c>
      <c r="E102" s="46">
        <v>3104</v>
      </c>
      <c r="F102" s="46">
        <v>155200</v>
      </c>
      <c r="G102" s="46">
        <v>598</v>
      </c>
      <c r="H102" s="46">
        <v>299000</v>
      </c>
      <c r="I102" s="46">
        <v>67</v>
      </c>
      <c r="J102" s="46">
        <v>123950</v>
      </c>
      <c r="K102" s="46">
        <v>14</v>
      </c>
      <c r="L102" s="46">
        <v>16800</v>
      </c>
      <c r="M102" s="46">
        <v>4972</v>
      </c>
      <c r="N102" s="46">
        <v>626472</v>
      </c>
      <c r="O102" s="46">
        <v>34</v>
      </c>
      <c r="P102" s="46">
        <v>27166</v>
      </c>
      <c r="Q102" s="46">
        <v>2</v>
      </c>
      <c r="R102" s="46">
        <v>1576</v>
      </c>
      <c r="S102" s="46">
        <v>5411</v>
      </c>
      <c r="T102" s="46">
        <v>476168</v>
      </c>
      <c r="U102" s="46">
        <v>0</v>
      </c>
      <c r="V102" s="46">
        <v>0</v>
      </c>
      <c r="W102" s="46">
        <v>0</v>
      </c>
      <c r="X102" s="46">
        <v>0</v>
      </c>
      <c r="Y102" s="46">
        <v>11445</v>
      </c>
      <c r="Z102" s="46">
        <v>412020</v>
      </c>
      <c r="AA102" s="46">
        <v>11009</v>
      </c>
      <c r="AB102" s="46">
        <v>473387</v>
      </c>
    </row>
    <row r="103" spans="1:28" s="32" customFormat="1" ht="14.25">
      <c r="A103" s="47" t="s">
        <v>132</v>
      </c>
      <c r="B103" s="43">
        <f>SUM(B104:B112)</f>
        <v>358.16</v>
      </c>
      <c r="C103" s="43">
        <f>SUM(C104:C112)</f>
        <v>825.4599999999999</v>
      </c>
      <c r="D103" s="48">
        <f t="shared" si="24"/>
        <v>1183.62</v>
      </c>
      <c r="E103" s="47">
        <f aca="true" t="shared" si="31" ref="D103:AB103">SUM(E104:E112)</f>
        <v>15120</v>
      </c>
      <c r="F103" s="47">
        <f t="shared" si="31"/>
        <v>756000</v>
      </c>
      <c r="G103" s="47">
        <f t="shared" si="31"/>
        <v>3823</v>
      </c>
      <c r="H103" s="47">
        <f t="shared" si="31"/>
        <v>1911500</v>
      </c>
      <c r="I103" s="47">
        <f t="shared" si="31"/>
        <v>448</v>
      </c>
      <c r="J103" s="47">
        <f t="shared" si="31"/>
        <v>828800</v>
      </c>
      <c r="K103" s="47">
        <f t="shared" si="31"/>
        <v>71</v>
      </c>
      <c r="L103" s="47">
        <f t="shared" si="31"/>
        <v>85200</v>
      </c>
      <c r="M103" s="47">
        <f t="shared" si="31"/>
        <v>23631</v>
      </c>
      <c r="N103" s="47">
        <f t="shared" si="31"/>
        <v>2977506</v>
      </c>
      <c r="O103" s="47">
        <f t="shared" si="31"/>
        <v>577</v>
      </c>
      <c r="P103" s="47">
        <f t="shared" si="31"/>
        <v>461113</v>
      </c>
      <c r="Q103" s="47">
        <f t="shared" si="31"/>
        <v>41</v>
      </c>
      <c r="R103" s="47">
        <f t="shared" si="31"/>
        <v>32308</v>
      </c>
      <c r="S103" s="47">
        <f t="shared" si="31"/>
        <v>20824</v>
      </c>
      <c r="T103" s="47">
        <f t="shared" si="31"/>
        <v>1832512</v>
      </c>
      <c r="U103" s="47">
        <f t="shared" si="31"/>
        <v>65</v>
      </c>
      <c r="V103" s="47">
        <f t="shared" si="31"/>
        <v>12610</v>
      </c>
      <c r="W103" s="47">
        <f t="shared" si="31"/>
        <v>9</v>
      </c>
      <c r="X103" s="47">
        <f t="shared" si="31"/>
        <v>7092</v>
      </c>
      <c r="Y103" s="47">
        <f t="shared" si="31"/>
        <v>37179</v>
      </c>
      <c r="Z103" s="47">
        <f t="shared" si="31"/>
        <v>1338444</v>
      </c>
      <c r="AA103" s="47">
        <f t="shared" si="31"/>
        <v>37038</v>
      </c>
      <c r="AB103" s="47">
        <f t="shared" si="31"/>
        <v>1592634</v>
      </c>
    </row>
    <row r="104" spans="1:28" s="33" customFormat="1" ht="14.25">
      <c r="A104" s="44" t="s">
        <v>133</v>
      </c>
      <c r="B104" s="38">
        <f aca="true" t="shared" si="32" ref="B104:B112">ROUNDUP((F104+H104+J104+L104)/10000,2)</f>
        <v>0</v>
      </c>
      <c r="C104" s="38">
        <f aca="true" t="shared" si="33" ref="C104:C112">ROUNDUP((N104+P104+R104+T104+V104+X104+Z104+AB104)/10000,2)</f>
        <v>0</v>
      </c>
      <c r="D104" s="45">
        <f t="shared" si="24"/>
        <v>0</v>
      </c>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row>
    <row r="105" spans="1:28" s="33" customFormat="1" ht="14.25">
      <c r="A105" s="44" t="s">
        <v>134</v>
      </c>
      <c r="B105" s="38">
        <f t="shared" si="32"/>
        <v>107.44</v>
      </c>
      <c r="C105" s="38">
        <f t="shared" si="33"/>
        <v>132.39</v>
      </c>
      <c r="D105" s="45">
        <f t="shared" si="24"/>
        <v>239.82999999999998</v>
      </c>
      <c r="E105" s="46">
        <v>4299</v>
      </c>
      <c r="F105" s="46">
        <v>214950</v>
      </c>
      <c r="G105" s="46">
        <v>849</v>
      </c>
      <c r="H105" s="46">
        <v>424500</v>
      </c>
      <c r="I105" s="46">
        <v>215</v>
      </c>
      <c r="J105" s="46">
        <v>397750</v>
      </c>
      <c r="K105" s="46">
        <v>31</v>
      </c>
      <c r="L105" s="46">
        <v>37200</v>
      </c>
      <c r="M105" s="46">
        <v>5023</v>
      </c>
      <c r="N105" s="46">
        <v>632898</v>
      </c>
      <c r="O105" s="46">
        <v>125</v>
      </c>
      <c r="P105" s="46">
        <v>99875</v>
      </c>
      <c r="Q105" s="46">
        <v>10</v>
      </c>
      <c r="R105" s="46">
        <v>7880</v>
      </c>
      <c r="S105" s="46">
        <v>3697</v>
      </c>
      <c r="T105" s="46">
        <v>325336</v>
      </c>
      <c r="U105" s="46">
        <v>33</v>
      </c>
      <c r="V105" s="46">
        <v>6402</v>
      </c>
      <c r="W105" s="46">
        <v>1</v>
      </c>
      <c r="X105" s="46">
        <v>788</v>
      </c>
      <c r="Y105" s="46">
        <v>3190</v>
      </c>
      <c r="Z105" s="46">
        <v>114840</v>
      </c>
      <c r="AA105" s="46">
        <v>3158</v>
      </c>
      <c r="AB105" s="46">
        <v>135794</v>
      </c>
    </row>
    <row r="106" spans="1:28" s="33" customFormat="1" ht="14.25">
      <c r="A106" s="44" t="s">
        <v>135</v>
      </c>
      <c r="B106" s="38">
        <f t="shared" si="32"/>
        <v>31.53</v>
      </c>
      <c r="C106" s="38">
        <f t="shared" si="33"/>
        <v>111.6</v>
      </c>
      <c r="D106" s="45">
        <f t="shared" si="24"/>
        <v>143.13</v>
      </c>
      <c r="E106" s="46">
        <v>1845</v>
      </c>
      <c r="F106" s="46">
        <v>92250</v>
      </c>
      <c r="G106" s="46">
        <v>332</v>
      </c>
      <c r="H106" s="46">
        <v>166000</v>
      </c>
      <c r="I106" s="46">
        <v>25</v>
      </c>
      <c r="J106" s="46">
        <v>46250</v>
      </c>
      <c r="K106" s="46">
        <v>9</v>
      </c>
      <c r="L106" s="46">
        <v>10800</v>
      </c>
      <c r="M106" s="46">
        <v>2143</v>
      </c>
      <c r="N106" s="46">
        <v>270018</v>
      </c>
      <c r="O106" s="46">
        <v>126</v>
      </c>
      <c r="P106" s="46">
        <v>100674</v>
      </c>
      <c r="Q106" s="46">
        <v>8</v>
      </c>
      <c r="R106" s="46">
        <v>6304</v>
      </c>
      <c r="S106" s="46">
        <v>2518</v>
      </c>
      <c r="T106" s="46">
        <v>221584</v>
      </c>
      <c r="U106" s="46">
        <v>19</v>
      </c>
      <c r="V106" s="46">
        <v>3686</v>
      </c>
      <c r="W106" s="46">
        <v>1</v>
      </c>
      <c r="X106" s="46">
        <v>788</v>
      </c>
      <c r="Y106" s="46">
        <v>6507</v>
      </c>
      <c r="Z106" s="46">
        <v>234252</v>
      </c>
      <c r="AA106" s="46">
        <v>6481</v>
      </c>
      <c r="AB106" s="46">
        <v>278683</v>
      </c>
    </row>
    <row r="107" spans="1:28" s="33" customFormat="1" ht="14.25">
      <c r="A107" s="44" t="s">
        <v>136</v>
      </c>
      <c r="B107" s="38">
        <f t="shared" si="32"/>
        <v>113.9</v>
      </c>
      <c r="C107" s="38">
        <f t="shared" si="33"/>
        <v>297.62</v>
      </c>
      <c r="D107" s="45">
        <f t="shared" si="24"/>
        <v>411.52</v>
      </c>
      <c r="E107" s="46">
        <v>4866</v>
      </c>
      <c r="F107" s="46">
        <v>243300</v>
      </c>
      <c r="G107" s="46">
        <v>1298</v>
      </c>
      <c r="H107" s="46">
        <v>649000</v>
      </c>
      <c r="I107" s="46">
        <v>121</v>
      </c>
      <c r="J107" s="46">
        <v>223850</v>
      </c>
      <c r="K107" s="46">
        <v>19</v>
      </c>
      <c r="L107" s="46">
        <v>22800</v>
      </c>
      <c r="M107" s="46">
        <v>8737</v>
      </c>
      <c r="N107" s="46">
        <v>1100862</v>
      </c>
      <c r="O107" s="46">
        <v>176</v>
      </c>
      <c r="P107" s="46">
        <v>140624</v>
      </c>
      <c r="Q107" s="46">
        <v>9</v>
      </c>
      <c r="R107" s="46">
        <v>7092</v>
      </c>
      <c r="S107" s="46">
        <v>8279</v>
      </c>
      <c r="T107" s="46">
        <v>728552</v>
      </c>
      <c r="U107" s="46">
        <v>8</v>
      </c>
      <c r="V107" s="46">
        <v>1552</v>
      </c>
      <c r="W107" s="46">
        <v>1</v>
      </c>
      <c r="X107" s="46">
        <v>788</v>
      </c>
      <c r="Y107" s="46">
        <v>12614</v>
      </c>
      <c r="Z107" s="46">
        <v>454104</v>
      </c>
      <c r="AA107" s="46">
        <v>12619</v>
      </c>
      <c r="AB107" s="46">
        <v>542617</v>
      </c>
    </row>
    <row r="108" spans="1:28" s="33" customFormat="1" ht="14.25">
      <c r="A108" s="44" t="s">
        <v>137</v>
      </c>
      <c r="B108" s="38">
        <f t="shared" si="32"/>
        <v>31.6</v>
      </c>
      <c r="C108" s="38">
        <f t="shared" si="33"/>
        <v>88.73</v>
      </c>
      <c r="D108" s="45">
        <f t="shared" si="24"/>
        <v>120.33000000000001</v>
      </c>
      <c r="E108" s="46">
        <v>1536</v>
      </c>
      <c r="F108" s="46">
        <v>76800</v>
      </c>
      <c r="G108" s="46">
        <v>326</v>
      </c>
      <c r="H108" s="46">
        <v>163000</v>
      </c>
      <c r="I108" s="46">
        <v>36</v>
      </c>
      <c r="J108" s="46">
        <v>66600</v>
      </c>
      <c r="K108" s="46">
        <v>8</v>
      </c>
      <c r="L108" s="46">
        <v>9600</v>
      </c>
      <c r="M108" s="46">
        <v>2194</v>
      </c>
      <c r="N108" s="46">
        <v>276444</v>
      </c>
      <c r="O108" s="46">
        <v>51</v>
      </c>
      <c r="P108" s="46">
        <v>40749</v>
      </c>
      <c r="Q108" s="46">
        <v>3</v>
      </c>
      <c r="R108" s="46">
        <v>2364</v>
      </c>
      <c r="S108" s="46">
        <v>2229</v>
      </c>
      <c r="T108" s="46">
        <v>196152</v>
      </c>
      <c r="U108" s="46">
        <v>1</v>
      </c>
      <c r="V108" s="46">
        <v>194</v>
      </c>
      <c r="W108" s="46">
        <v>1</v>
      </c>
      <c r="X108" s="46">
        <v>788</v>
      </c>
      <c r="Y108" s="46">
        <v>4729</v>
      </c>
      <c r="Z108" s="46">
        <v>170244</v>
      </c>
      <c r="AA108" s="46">
        <v>4658</v>
      </c>
      <c r="AB108" s="46">
        <v>200294</v>
      </c>
    </row>
    <row r="109" spans="1:28" s="33" customFormat="1" ht="14.25">
      <c r="A109" s="44" t="s">
        <v>138</v>
      </c>
      <c r="B109" s="38">
        <f t="shared" si="32"/>
        <v>25.49</v>
      </c>
      <c r="C109" s="38">
        <f t="shared" si="33"/>
        <v>66.89</v>
      </c>
      <c r="D109" s="45">
        <f t="shared" si="24"/>
        <v>92.38</v>
      </c>
      <c r="E109" s="46">
        <v>1038</v>
      </c>
      <c r="F109" s="46">
        <v>51900</v>
      </c>
      <c r="G109" s="46">
        <v>352</v>
      </c>
      <c r="H109" s="46">
        <v>176000</v>
      </c>
      <c r="I109" s="46">
        <v>12</v>
      </c>
      <c r="J109" s="46">
        <v>22200</v>
      </c>
      <c r="K109" s="46">
        <v>4</v>
      </c>
      <c r="L109" s="46">
        <v>4800</v>
      </c>
      <c r="M109" s="46">
        <v>1969</v>
      </c>
      <c r="N109" s="46">
        <v>248094</v>
      </c>
      <c r="O109" s="46">
        <v>4</v>
      </c>
      <c r="P109" s="46">
        <v>3196</v>
      </c>
      <c r="Q109" s="46">
        <v>4</v>
      </c>
      <c r="R109" s="46">
        <v>3152</v>
      </c>
      <c r="S109" s="46">
        <v>1608</v>
      </c>
      <c r="T109" s="46">
        <v>141504</v>
      </c>
      <c r="U109" s="46">
        <v>1</v>
      </c>
      <c r="V109" s="46">
        <v>194</v>
      </c>
      <c r="W109" s="46">
        <v>1</v>
      </c>
      <c r="X109" s="46">
        <v>788</v>
      </c>
      <c r="Y109" s="46">
        <v>3442</v>
      </c>
      <c r="Z109" s="46">
        <v>123912</v>
      </c>
      <c r="AA109" s="46">
        <v>3442</v>
      </c>
      <c r="AB109" s="46">
        <v>148006</v>
      </c>
    </row>
    <row r="110" spans="1:28" s="33" customFormat="1" ht="14.25">
      <c r="A110" s="44" t="s">
        <v>139</v>
      </c>
      <c r="B110" s="38">
        <f t="shared" si="32"/>
        <v>24.23</v>
      </c>
      <c r="C110" s="38">
        <f t="shared" si="33"/>
        <v>23.27</v>
      </c>
      <c r="D110" s="45">
        <f t="shared" si="24"/>
        <v>47.5</v>
      </c>
      <c r="E110" s="46">
        <v>300</v>
      </c>
      <c r="F110" s="46">
        <v>15000</v>
      </c>
      <c r="G110" s="46">
        <v>425</v>
      </c>
      <c r="H110" s="46">
        <v>212500</v>
      </c>
      <c r="I110" s="46">
        <v>8</v>
      </c>
      <c r="J110" s="46">
        <v>14800</v>
      </c>
      <c r="K110" s="46">
        <v>0</v>
      </c>
      <c r="L110" s="46">
        <v>0</v>
      </c>
      <c r="M110" s="46">
        <v>792</v>
      </c>
      <c r="N110" s="46">
        <v>99792</v>
      </c>
      <c r="O110" s="46">
        <v>37</v>
      </c>
      <c r="P110" s="46">
        <v>29653</v>
      </c>
      <c r="Q110" s="46">
        <v>0</v>
      </c>
      <c r="R110" s="46">
        <v>0</v>
      </c>
      <c r="S110" s="46">
        <v>362</v>
      </c>
      <c r="T110" s="46">
        <v>31856</v>
      </c>
      <c r="U110" s="46">
        <v>0</v>
      </c>
      <c r="V110" s="46">
        <v>0</v>
      </c>
      <c r="W110" s="46">
        <v>0</v>
      </c>
      <c r="X110" s="46">
        <v>0</v>
      </c>
      <c r="Y110" s="46">
        <v>903</v>
      </c>
      <c r="Z110" s="46">
        <v>32508</v>
      </c>
      <c r="AA110" s="46">
        <v>904</v>
      </c>
      <c r="AB110" s="46">
        <v>38872</v>
      </c>
    </row>
    <row r="111" spans="1:28" s="33" customFormat="1" ht="14.25">
      <c r="A111" s="44" t="s">
        <v>140</v>
      </c>
      <c r="B111" s="38">
        <f t="shared" si="32"/>
        <v>8.69</v>
      </c>
      <c r="C111" s="38">
        <f t="shared" si="33"/>
        <v>25.55</v>
      </c>
      <c r="D111" s="45">
        <f t="shared" si="24"/>
        <v>34.24</v>
      </c>
      <c r="E111" s="46">
        <v>474</v>
      </c>
      <c r="F111" s="46">
        <v>23700</v>
      </c>
      <c r="G111" s="46">
        <v>93</v>
      </c>
      <c r="H111" s="46">
        <v>46500</v>
      </c>
      <c r="I111" s="46">
        <v>9</v>
      </c>
      <c r="J111" s="46">
        <v>16650</v>
      </c>
      <c r="K111" s="46">
        <v>0</v>
      </c>
      <c r="L111" s="46">
        <v>0</v>
      </c>
      <c r="M111" s="46">
        <v>876</v>
      </c>
      <c r="N111" s="46">
        <v>110376</v>
      </c>
      <c r="O111" s="46">
        <v>5</v>
      </c>
      <c r="P111" s="46">
        <v>3995</v>
      </c>
      <c r="Q111" s="46">
        <v>3</v>
      </c>
      <c r="R111" s="46">
        <v>2364</v>
      </c>
      <c r="S111" s="46">
        <v>686</v>
      </c>
      <c r="T111" s="46">
        <v>60368</v>
      </c>
      <c r="U111" s="46">
        <v>0</v>
      </c>
      <c r="V111" s="46">
        <v>0</v>
      </c>
      <c r="W111" s="46">
        <v>3</v>
      </c>
      <c r="X111" s="46">
        <v>2364</v>
      </c>
      <c r="Y111" s="46">
        <v>971</v>
      </c>
      <c r="Z111" s="46">
        <v>34956</v>
      </c>
      <c r="AA111" s="46">
        <v>953</v>
      </c>
      <c r="AB111" s="46">
        <v>40979</v>
      </c>
    </row>
    <row r="112" spans="1:28" s="33" customFormat="1" ht="14.25">
      <c r="A112" s="44" t="s">
        <v>141</v>
      </c>
      <c r="B112" s="38">
        <f t="shared" si="32"/>
        <v>15.28</v>
      </c>
      <c r="C112" s="38">
        <f t="shared" si="33"/>
        <v>79.41</v>
      </c>
      <c r="D112" s="45">
        <f t="shared" si="24"/>
        <v>94.69</v>
      </c>
      <c r="E112" s="46">
        <v>762</v>
      </c>
      <c r="F112" s="46">
        <v>38100</v>
      </c>
      <c r="G112" s="46">
        <v>148</v>
      </c>
      <c r="H112" s="46">
        <v>74000</v>
      </c>
      <c r="I112" s="46">
        <v>22</v>
      </c>
      <c r="J112" s="46">
        <v>40700</v>
      </c>
      <c r="K112" s="46">
        <v>0</v>
      </c>
      <c r="L112" s="46">
        <v>0</v>
      </c>
      <c r="M112" s="46">
        <v>1897</v>
      </c>
      <c r="N112" s="46">
        <v>239022</v>
      </c>
      <c r="O112" s="46">
        <v>53</v>
      </c>
      <c r="P112" s="46">
        <v>42347</v>
      </c>
      <c r="Q112" s="46">
        <v>4</v>
      </c>
      <c r="R112" s="46">
        <v>3152</v>
      </c>
      <c r="S112" s="46">
        <v>1445</v>
      </c>
      <c r="T112" s="46">
        <v>127160</v>
      </c>
      <c r="U112" s="46">
        <v>3</v>
      </c>
      <c r="V112" s="46">
        <v>582</v>
      </c>
      <c r="W112" s="46">
        <v>1</v>
      </c>
      <c r="X112" s="46">
        <v>788</v>
      </c>
      <c r="Y112" s="46">
        <v>4823</v>
      </c>
      <c r="Z112" s="46">
        <v>173628</v>
      </c>
      <c r="AA112" s="46">
        <v>4823</v>
      </c>
      <c r="AB112" s="46">
        <v>207389</v>
      </c>
    </row>
    <row r="113" spans="1:28" s="32" customFormat="1" ht="14.25">
      <c r="A113" s="47" t="s">
        <v>142</v>
      </c>
      <c r="B113" s="43">
        <f>SUM(B114:B117)</f>
        <v>0.49</v>
      </c>
      <c r="C113" s="43">
        <f>SUM(C114:C117)</f>
        <v>398.76</v>
      </c>
      <c r="D113" s="48">
        <f t="shared" si="24"/>
        <v>399.25</v>
      </c>
      <c r="E113" s="47">
        <f aca="true" t="shared" si="34" ref="D113:AB113">SUM(E115:E117)</f>
        <v>98</v>
      </c>
      <c r="F113" s="47">
        <f t="shared" si="34"/>
        <v>4900</v>
      </c>
      <c r="G113" s="47">
        <f t="shared" si="34"/>
        <v>0</v>
      </c>
      <c r="H113" s="47">
        <f t="shared" si="34"/>
        <v>0</v>
      </c>
      <c r="I113" s="47">
        <f t="shared" si="34"/>
        <v>0</v>
      </c>
      <c r="J113" s="47">
        <f t="shared" si="34"/>
        <v>0</v>
      </c>
      <c r="K113" s="47">
        <f t="shared" si="34"/>
        <v>0</v>
      </c>
      <c r="L113" s="47">
        <f t="shared" si="34"/>
        <v>0</v>
      </c>
      <c r="M113" s="47">
        <f t="shared" si="34"/>
        <v>15144</v>
      </c>
      <c r="N113" s="47">
        <f t="shared" si="34"/>
        <v>1908144</v>
      </c>
      <c r="O113" s="47">
        <f t="shared" si="34"/>
        <v>7</v>
      </c>
      <c r="P113" s="47">
        <f t="shared" si="34"/>
        <v>5593</v>
      </c>
      <c r="Q113" s="47">
        <f t="shared" si="34"/>
        <v>3</v>
      </c>
      <c r="R113" s="47">
        <f t="shared" si="34"/>
        <v>2364</v>
      </c>
      <c r="S113" s="47">
        <f t="shared" si="34"/>
        <v>13015</v>
      </c>
      <c r="T113" s="47">
        <f t="shared" si="34"/>
        <v>1145320</v>
      </c>
      <c r="U113" s="47">
        <f t="shared" si="34"/>
        <v>1</v>
      </c>
      <c r="V113" s="47">
        <f t="shared" si="34"/>
        <v>194</v>
      </c>
      <c r="W113" s="47">
        <f t="shared" si="34"/>
        <v>4</v>
      </c>
      <c r="X113" s="47">
        <f t="shared" si="34"/>
        <v>3152</v>
      </c>
      <c r="Y113" s="47">
        <f t="shared" si="34"/>
        <v>11120</v>
      </c>
      <c r="Z113" s="47">
        <f t="shared" si="34"/>
        <v>400572</v>
      </c>
      <c r="AA113" s="47">
        <f t="shared" si="34"/>
        <v>12141</v>
      </c>
      <c r="AB113" s="47">
        <f t="shared" si="34"/>
        <v>522063</v>
      </c>
    </row>
    <row r="114" spans="1:28" s="33" customFormat="1" ht="14.25">
      <c r="A114" s="44" t="s">
        <v>143</v>
      </c>
      <c r="B114" s="38">
        <f>ROUNDUP((F114+H114+J114+L114)/10000,2)</f>
        <v>0</v>
      </c>
      <c r="C114" s="38">
        <f>ROUNDUP((N114+P114+R114+T114+V114+X114+Z114+AB114)/10000,2)</f>
        <v>0</v>
      </c>
      <c r="D114" s="45">
        <f t="shared" si="24"/>
        <v>0</v>
      </c>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row>
    <row r="115" spans="1:28" s="33" customFormat="1" ht="14.25">
      <c r="A115" s="44" t="s">
        <v>144</v>
      </c>
      <c r="B115" s="38">
        <f>ROUNDUP((F115+H115+J115+L115)/10000,2)</f>
        <v>0</v>
      </c>
      <c r="C115" s="38">
        <f>ROUNDUP((N115+P115+R115+T115+V115+X115+Z115+AB115)/10000,2)</f>
        <v>41.42</v>
      </c>
      <c r="D115" s="45">
        <f t="shared" si="24"/>
        <v>41.42</v>
      </c>
      <c r="E115" s="46">
        <v>0</v>
      </c>
      <c r="F115" s="46">
        <v>0</v>
      </c>
      <c r="G115" s="46">
        <v>0</v>
      </c>
      <c r="H115" s="46">
        <v>0</v>
      </c>
      <c r="I115" s="46">
        <v>0</v>
      </c>
      <c r="J115" s="46">
        <v>0</v>
      </c>
      <c r="K115" s="46">
        <v>0</v>
      </c>
      <c r="L115" s="46">
        <v>0</v>
      </c>
      <c r="M115" s="46">
        <v>1845</v>
      </c>
      <c r="N115" s="46">
        <v>232470</v>
      </c>
      <c r="O115" s="46">
        <v>0</v>
      </c>
      <c r="P115" s="46">
        <v>0</v>
      </c>
      <c r="Q115" s="46">
        <v>0</v>
      </c>
      <c r="R115" s="46">
        <v>0</v>
      </c>
      <c r="S115" s="46">
        <v>1953</v>
      </c>
      <c r="T115" s="46">
        <v>171864</v>
      </c>
      <c r="U115" s="46">
        <v>0</v>
      </c>
      <c r="V115" s="46">
        <v>0</v>
      </c>
      <c r="W115" s="46">
        <v>0</v>
      </c>
      <c r="X115" s="46">
        <v>0</v>
      </c>
      <c r="Y115" s="46">
        <v>127</v>
      </c>
      <c r="Z115" s="46">
        <v>4572</v>
      </c>
      <c r="AA115" s="46">
        <v>123</v>
      </c>
      <c r="AB115" s="46">
        <v>5289</v>
      </c>
    </row>
    <row r="116" spans="1:28" s="33" customFormat="1" ht="14.25">
      <c r="A116" s="44" t="s">
        <v>145</v>
      </c>
      <c r="B116" s="38">
        <f>ROUNDUP((F116+H116+J116+L116)/10000,2)</f>
        <v>0</v>
      </c>
      <c r="C116" s="38">
        <f>ROUNDUP((N116+P116+R116+T116+V116+X116+Z116+AB116)/10000,2)</f>
        <v>115.95</v>
      </c>
      <c r="D116" s="45">
        <f t="shared" si="24"/>
        <v>115.95</v>
      </c>
      <c r="E116" s="46">
        <v>0</v>
      </c>
      <c r="F116" s="46">
        <v>0</v>
      </c>
      <c r="G116" s="46">
        <v>0</v>
      </c>
      <c r="H116" s="46">
        <v>0</v>
      </c>
      <c r="I116" s="46">
        <v>0</v>
      </c>
      <c r="J116" s="46">
        <v>0</v>
      </c>
      <c r="K116" s="46">
        <v>0</v>
      </c>
      <c r="L116" s="46">
        <v>0</v>
      </c>
      <c r="M116" s="46">
        <v>3995</v>
      </c>
      <c r="N116" s="46">
        <v>503370</v>
      </c>
      <c r="O116" s="46">
        <v>7</v>
      </c>
      <c r="P116" s="46">
        <v>5593</v>
      </c>
      <c r="Q116" s="46">
        <v>2</v>
      </c>
      <c r="R116" s="46">
        <v>1576</v>
      </c>
      <c r="S116" s="46">
        <v>1086</v>
      </c>
      <c r="T116" s="46">
        <v>95568</v>
      </c>
      <c r="U116" s="46">
        <v>0</v>
      </c>
      <c r="V116" s="46">
        <v>0</v>
      </c>
      <c r="W116" s="46">
        <v>0</v>
      </c>
      <c r="X116" s="46">
        <v>0</v>
      </c>
      <c r="Y116" s="46">
        <v>7230</v>
      </c>
      <c r="Z116" s="46">
        <v>260280</v>
      </c>
      <c r="AA116" s="46">
        <v>6815</v>
      </c>
      <c r="AB116" s="46">
        <v>293045</v>
      </c>
    </row>
    <row r="117" spans="1:28" s="33" customFormat="1" ht="14.25">
      <c r="A117" s="44" t="s">
        <v>146</v>
      </c>
      <c r="B117" s="38">
        <v>0.49</v>
      </c>
      <c r="C117" s="38">
        <v>241.39</v>
      </c>
      <c r="D117" s="45">
        <v>241.88</v>
      </c>
      <c r="E117" s="49">
        <v>98</v>
      </c>
      <c r="F117" s="49">
        <v>4900</v>
      </c>
      <c r="G117" s="49">
        <v>0</v>
      </c>
      <c r="H117" s="49">
        <v>0</v>
      </c>
      <c r="I117" s="49">
        <v>0</v>
      </c>
      <c r="J117" s="49">
        <v>0</v>
      </c>
      <c r="K117" s="49">
        <v>0</v>
      </c>
      <c r="L117" s="49">
        <v>0</v>
      </c>
      <c r="M117" s="49">
        <v>9304</v>
      </c>
      <c r="N117" s="49">
        <v>1172304</v>
      </c>
      <c r="O117" s="49">
        <v>0</v>
      </c>
      <c r="P117" s="49">
        <v>0</v>
      </c>
      <c r="Q117" s="49">
        <v>1</v>
      </c>
      <c r="R117" s="49">
        <v>788</v>
      </c>
      <c r="S117" s="49">
        <v>9976</v>
      </c>
      <c r="T117" s="49">
        <v>877888</v>
      </c>
      <c r="U117" s="49">
        <v>1</v>
      </c>
      <c r="V117" s="49">
        <v>194</v>
      </c>
      <c r="W117" s="49">
        <v>4</v>
      </c>
      <c r="X117" s="49">
        <v>3152</v>
      </c>
      <c r="Y117" s="49">
        <v>3763</v>
      </c>
      <c r="Z117" s="49">
        <v>135720</v>
      </c>
      <c r="AA117" s="49">
        <v>5203</v>
      </c>
      <c r="AB117" s="49">
        <v>223729</v>
      </c>
    </row>
    <row r="118" spans="1:28" s="32" customFormat="1" ht="14.25">
      <c r="A118" s="47" t="s">
        <v>147</v>
      </c>
      <c r="B118" s="43">
        <f>SUM(B119:B124)</f>
        <v>253.44</v>
      </c>
      <c r="C118" s="43">
        <f>SUM(C119:C124)</f>
        <v>1204.76</v>
      </c>
      <c r="D118" s="48">
        <f>B118+C118</f>
        <v>1458.2</v>
      </c>
      <c r="E118" s="47">
        <f aca="true" t="shared" si="35" ref="D118:AB118">SUM(E120:E121)</f>
        <v>2236</v>
      </c>
      <c r="F118" s="47">
        <f t="shared" si="35"/>
        <v>111800</v>
      </c>
      <c r="G118" s="47">
        <f t="shared" si="35"/>
        <v>220</v>
      </c>
      <c r="H118" s="47">
        <f t="shared" si="35"/>
        <v>110000</v>
      </c>
      <c r="I118" s="47">
        <f t="shared" si="35"/>
        <v>35</v>
      </c>
      <c r="J118" s="47">
        <f t="shared" si="35"/>
        <v>64750</v>
      </c>
      <c r="K118" s="47">
        <f t="shared" si="35"/>
        <v>7</v>
      </c>
      <c r="L118" s="47">
        <f t="shared" si="35"/>
        <v>8400</v>
      </c>
      <c r="M118" s="47">
        <f t="shared" si="35"/>
        <v>8548</v>
      </c>
      <c r="N118" s="47">
        <f t="shared" si="35"/>
        <v>1077048</v>
      </c>
      <c r="O118" s="47">
        <f t="shared" si="35"/>
        <v>75</v>
      </c>
      <c r="P118" s="47">
        <f t="shared" si="35"/>
        <v>59925</v>
      </c>
      <c r="Q118" s="47">
        <f t="shared" si="35"/>
        <v>0</v>
      </c>
      <c r="R118" s="47">
        <f t="shared" si="35"/>
        <v>0</v>
      </c>
      <c r="S118" s="47">
        <f t="shared" si="35"/>
        <v>3989</v>
      </c>
      <c r="T118" s="47">
        <f t="shared" si="35"/>
        <v>351032</v>
      </c>
      <c r="U118" s="47">
        <f t="shared" si="35"/>
        <v>3</v>
      </c>
      <c r="V118" s="47">
        <f t="shared" si="35"/>
        <v>582</v>
      </c>
      <c r="W118" s="47">
        <f t="shared" si="35"/>
        <v>1</v>
      </c>
      <c r="X118" s="47">
        <f t="shared" si="35"/>
        <v>788</v>
      </c>
      <c r="Y118" s="47">
        <f t="shared" si="35"/>
        <v>11563</v>
      </c>
      <c r="Z118" s="47">
        <f t="shared" si="35"/>
        <v>416268</v>
      </c>
      <c r="AA118" s="47">
        <f t="shared" si="35"/>
        <v>9156</v>
      </c>
      <c r="AB118" s="47">
        <f t="shared" si="35"/>
        <v>393708</v>
      </c>
    </row>
    <row r="119" spans="1:28" s="33" customFormat="1" ht="14.25">
      <c r="A119" s="44" t="s">
        <v>148</v>
      </c>
      <c r="B119" s="38">
        <v>38.28</v>
      </c>
      <c r="C119" s="38">
        <v>30.89</v>
      </c>
      <c r="D119" s="38">
        <v>69.17</v>
      </c>
      <c r="E119" s="38">
        <v>3055</v>
      </c>
      <c r="F119" s="38">
        <v>152750</v>
      </c>
      <c r="G119" s="38">
        <v>460</v>
      </c>
      <c r="H119" s="38">
        <v>230000</v>
      </c>
      <c r="I119" s="38">
        <v>0</v>
      </c>
      <c r="J119" s="38">
        <v>0</v>
      </c>
      <c r="K119" s="38">
        <v>0</v>
      </c>
      <c r="L119" s="38">
        <v>0</v>
      </c>
      <c r="M119" s="38">
        <v>429</v>
      </c>
      <c r="N119" s="38">
        <v>54054</v>
      </c>
      <c r="O119" s="38">
        <v>0</v>
      </c>
      <c r="P119" s="38">
        <v>0</v>
      </c>
      <c r="Q119" s="38">
        <v>0</v>
      </c>
      <c r="R119" s="38">
        <v>0</v>
      </c>
      <c r="S119" s="38">
        <v>125</v>
      </c>
      <c r="T119" s="38">
        <v>11000</v>
      </c>
      <c r="U119" s="38">
        <v>20</v>
      </c>
      <c r="V119" s="38">
        <v>3880</v>
      </c>
      <c r="W119" s="38">
        <v>0</v>
      </c>
      <c r="X119" s="38">
        <v>0</v>
      </c>
      <c r="Y119" s="38">
        <v>5279</v>
      </c>
      <c r="Z119" s="38">
        <v>190044</v>
      </c>
      <c r="AA119" s="38">
        <v>1158</v>
      </c>
      <c r="AB119" s="38">
        <v>49794</v>
      </c>
    </row>
    <row r="120" spans="1:28" s="33" customFormat="1" ht="14.25">
      <c r="A120" s="44" t="s">
        <v>149</v>
      </c>
      <c r="B120" s="38">
        <f>ROUNDUP((F120+H120+J120+L120)/10000,2)</f>
        <v>22.28</v>
      </c>
      <c r="C120" s="38">
        <f>ROUNDUP((N120+P120+R120+T120+V120+X120+Z120+AB120)/10000,2)</f>
        <v>183.59</v>
      </c>
      <c r="D120" s="45">
        <f aca="true" t="shared" si="36" ref="D120:D131">B120+C120</f>
        <v>205.87</v>
      </c>
      <c r="E120" s="46">
        <v>1523</v>
      </c>
      <c r="F120" s="46">
        <v>76150</v>
      </c>
      <c r="G120" s="46">
        <v>158</v>
      </c>
      <c r="H120" s="46">
        <v>79000</v>
      </c>
      <c r="I120" s="46">
        <v>32</v>
      </c>
      <c r="J120" s="46">
        <v>59200</v>
      </c>
      <c r="K120" s="46">
        <v>7</v>
      </c>
      <c r="L120" s="46">
        <v>8400</v>
      </c>
      <c r="M120" s="46">
        <v>6814</v>
      </c>
      <c r="N120" s="46">
        <v>858564</v>
      </c>
      <c r="O120" s="46">
        <v>74</v>
      </c>
      <c r="P120" s="46">
        <v>59126</v>
      </c>
      <c r="Q120" s="46">
        <v>0</v>
      </c>
      <c r="R120" s="46">
        <v>0</v>
      </c>
      <c r="S120" s="46">
        <v>3135</v>
      </c>
      <c r="T120" s="46">
        <v>275880</v>
      </c>
      <c r="U120" s="46">
        <v>3</v>
      </c>
      <c r="V120" s="46">
        <v>582</v>
      </c>
      <c r="W120" s="46">
        <v>1</v>
      </c>
      <c r="X120" s="46">
        <v>788</v>
      </c>
      <c r="Y120" s="46">
        <v>9438</v>
      </c>
      <c r="Z120" s="46">
        <v>339768</v>
      </c>
      <c r="AA120" s="46">
        <v>7004</v>
      </c>
      <c r="AB120" s="46">
        <v>301172</v>
      </c>
    </row>
    <row r="121" spans="1:28" s="33" customFormat="1" ht="14.25">
      <c r="A121" s="44" t="s">
        <v>150</v>
      </c>
      <c r="B121" s="38">
        <f>ROUNDUP((F121+H121+J121+L121)/10000,2)</f>
        <v>7.22</v>
      </c>
      <c r="C121" s="38">
        <f>ROUNDUP((N121+P121+R121+T121+V121+X121+Z121+AB121)/10000,2)</f>
        <v>46.35</v>
      </c>
      <c r="D121" s="45">
        <f t="shared" si="36"/>
        <v>53.57</v>
      </c>
      <c r="E121" s="46">
        <v>713</v>
      </c>
      <c r="F121" s="46">
        <v>35650</v>
      </c>
      <c r="G121" s="46">
        <v>62</v>
      </c>
      <c r="H121" s="46">
        <v>31000</v>
      </c>
      <c r="I121" s="46">
        <v>3</v>
      </c>
      <c r="J121" s="46">
        <v>5550</v>
      </c>
      <c r="K121" s="46">
        <v>0</v>
      </c>
      <c r="L121" s="46">
        <v>0</v>
      </c>
      <c r="M121" s="46">
        <v>1734</v>
      </c>
      <c r="N121" s="46">
        <v>218484</v>
      </c>
      <c r="O121" s="46">
        <v>1</v>
      </c>
      <c r="P121" s="46">
        <v>799</v>
      </c>
      <c r="Q121" s="46">
        <v>0</v>
      </c>
      <c r="R121" s="46">
        <v>0</v>
      </c>
      <c r="S121" s="46">
        <v>854</v>
      </c>
      <c r="T121" s="46">
        <v>75152</v>
      </c>
      <c r="U121" s="46">
        <v>0</v>
      </c>
      <c r="V121" s="46">
        <v>0</v>
      </c>
      <c r="W121" s="46">
        <v>0</v>
      </c>
      <c r="X121" s="46">
        <v>0</v>
      </c>
      <c r="Y121" s="46">
        <v>2125</v>
      </c>
      <c r="Z121" s="46">
        <v>76500</v>
      </c>
      <c r="AA121" s="46">
        <v>2152</v>
      </c>
      <c r="AB121" s="46">
        <v>92536</v>
      </c>
    </row>
    <row r="122" spans="1:28" s="33" customFormat="1" ht="14.25">
      <c r="A122" s="44" t="s">
        <v>151</v>
      </c>
      <c r="B122" s="38">
        <f>ROUNDUP((F122+H122+J122+L122)/10000,2)</f>
        <v>160.67</v>
      </c>
      <c r="C122" s="38">
        <f>ROUNDUP((N122+P122+R122+T122+V122+X122+Z122+AB122)/10000,2)</f>
        <v>630.47</v>
      </c>
      <c r="D122" s="45">
        <f t="shared" si="36"/>
        <v>791.14</v>
      </c>
      <c r="E122" s="46">
        <v>8004</v>
      </c>
      <c r="F122" s="46">
        <v>400200</v>
      </c>
      <c r="G122" s="46">
        <v>2279</v>
      </c>
      <c r="H122" s="46">
        <v>1139500</v>
      </c>
      <c r="I122" s="46">
        <v>31</v>
      </c>
      <c r="J122" s="46">
        <v>57350</v>
      </c>
      <c r="K122" s="46">
        <v>8</v>
      </c>
      <c r="L122" s="46">
        <v>9600</v>
      </c>
      <c r="M122" s="46">
        <v>14491</v>
      </c>
      <c r="N122" s="46">
        <v>1825866</v>
      </c>
      <c r="O122" s="46">
        <v>44</v>
      </c>
      <c r="P122" s="46">
        <v>35156</v>
      </c>
      <c r="Q122" s="46">
        <v>1</v>
      </c>
      <c r="R122" s="46">
        <v>788</v>
      </c>
      <c r="S122" s="46">
        <v>18245</v>
      </c>
      <c r="T122" s="46">
        <v>1605560</v>
      </c>
      <c r="U122" s="46">
        <v>0</v>
      </c>
      <c r="V122" s="46">
        <v>0</v>
      </c>
      <c r="W122" s="46">
        <v>0</v>
      </c>
      <c r="X122" s="46">
        <v>0</v>
      </c>
      <c r="Y122" s="46">
        <v>34243</v>
      </c>
      <c r="Z122" s="46">
        <v>1232748</v>
      </c>
      <c r="AA122" s="46">
        <v>37314</v>
      </c>
      <c r="AB122" s="46">
        <v>1604502</v>
      </c>
    </row>
    <row r="123" spans="1:28" s="33" customFormat="1" ht="14.25">
      <c r="A123" s="44" t="s">
        <v>152</v>
      </c>
      <c r="B123" s="38">
        <f>ROUNDUP((F123+H123+J123+L123)/10000,2)</f>
        <v>13.35</v>
      </c>
      <c r="C123" s="38">
        <f>ROUNDUP((N123+P123+R123+T123+V123+X123+Z123+AB123)/10000,2)</f>
        <v>249.69</v>
      </c>
      <c r="D123" s="45">
        <f t="shared" si="36"/>
        <v>263.04</v>
      </c>
      <c r="E123" s="46">
        <v>1866</v>
      </c>
      <c r="F123" s="46">
        <v>93300</v>
      </c>
      <c r="G123" s="46">
        <v>47</v>
      </c>
      <c r="H123" s="46">
        <v>23500</v>
      </c>
      <c r="I123" s="46">
        <v>9</v>
      </c>
      <c r="J123" s="46">
        <v>16650</v>
      </c>
      <c r="K123" s="46">
        <v>0</v>
      </c>
      <c r="L123" s="46">
        <v>0</v>
      </c>
      <c r="M123" s="46">
        <v>9149</v>
      </c>
      <c r="N123" s="46">
        <v>1152774</v>
      </c>
      <c r="O123" s="46">
        <v>1</v>
      </c>
      <c r="P123" s="46">
        <v>799</v>
      </c>
      <c r="Q123" s="46">
        <v>0</v>
      </c>
      <c r="R123" s="46">
        <v>0</v>
      </c>
      <c r="S123" s="46">
        <v>5938</v>
      </c>
      <c r="T123" s="46">
        <v>522544</v>
      </c>
      <c r="U123" s="46">
        <v>0</v>
      </c>
      <c r="V123" s="46">
        <v>0</v>
      </c>
      <c r="W123" s="46">
        <v>0</v>
      </c>
      <c r="X123" s="46">
        <v>0</v>
      </c>
      <c r="Y123" s="46">
        <v>13048</v>
      </c>
      <c r="Z123" s="46">
        <v>469728</v>
      </c>
      <c r="AA123" s="46">
        <v>8162</v>
      </c>
      <c r="AB123" s="46">
        <v>350966</v>
      </c>
    </row>
    <row r="124" spans="1:28" s="33" customFormat="1" ht="14.25">
      <c r="A124" s="44" t="s">
        <v>153</v>
      </c>
      <c r="B124" s="38">
        <f>ROUNDUP((F124+H124+J124+L124)/10000,2)</f>
        <v>11.64</v>
      </c>
      <c r="C124" s="38">
        <f>ROUNDUP((N124+P124+R124+T124+V124+X124+Z124+AB124)/10000,2)</f>
        <v>63.77</v>
      </c>
      <c r="D124" s="45">
        <f t="shared" si="36"/>
        <v>75.41</v>
      </c>
      <c r="E124" s="46">
        <v>857</v>
      </c>
      <c r="F124" s="46">
        <v>42850</v>
      </c>
      <c r="G124" s="46">
        <v>147</v>
      </c>
      <c r="H124" s="46">
        <v>73500</v>
      </c>
      <c r="I124" s="46">
        <v>0</v>
      </c>
      <c r="J124" s="46">
        <v>0</v>
      </c>
      <c r="K124" s="46">
        <v>0</v>
      </c>
      <c r="L124" s="46">
        <v>0</v>
      </c>
      <c r="M124" s="46">
        <v>2174</v>
      </c>
      <c r="N124" s="46">
        <v>273924</v>
      </c>
      <c r="O124" s="46">
        <v>0</v>
      </c>
      <c r="P124" s="46">
        <v>0</v>
      </c>
      <c r="Q124" s="46">
        <v>0</v>
      </c>
      <c r="R124" s="46">
        <v>0</v>
      </c>
      <c r="S124" s="46">
        <v>142</v>
      </c>
      <c r="T124" s="46">
        <v>12496</v>
      </c>
      <c r="U124" s="46">
        <v>0</v>
      </c>
      <c r="V124" s="46">
        <v>0</v>
      </c>
      <c r="W124" s="46">
        <v>0</v>
      </c>
      <c r="X124" s="46">
        <v>0</v>
      </c>
      <c r="Y124" s="46">
        <v>7890</v>
      </c>
      <c r="Z124" s="46">
        <v>284040</v>
      </c>
      <c r="AA124" s="46">
        <v>1563</v>
      </c>
      <c r="AB124" s="46">
        <v>67209</v>
      </c>
    </row>
    <row r="125" spans="1:28" s="32" customFormat="1" ht="14.25">
      <c r="A125" s="47" t="s">
        <v>154</v>
      </c>
      <c r="B125" s="43">
        <f>SUM(B126:B131)</f>
        <v>234.58999999999997</v>
      </c>
      <c r="C125" s="43">
        <f>SUM(C126:C131)</f>
        <v>692.77</v>
      </c>
      <c r="D125" s="48">
        <f t="shared" si="36"/>
        <v>927.3599999999999</v>
      </c>
      <c r="E125" s="47">
        <f aca="true" t="shared" si="37" ref="D125:AB125">SUM(E127:E130)</f>
        <v>11196</v>
      </c>
      <c r="F125" s="47">
        <f t="shared" si="37"/>
        <v>559800</v>
      </c>
      <c r="G125" s="47">
        <f t="shared" si="37"/>
        <v>1992</v>
      </c>
      <c r="H125" s="47">
        <f t="shared" si="37"/>
        <v>996000</v>
      </c>
      <c r="I125" s="47">
        <f t="shared" si="37"/>
        <v>164</v>
      </c>
      <c r="J125" s="47">
        <f t="shared" si="37"/>
        <v>303400</v>
      </c>
      <c r="K125" s="47">
        <f t="shared" si="37"/>
        <v>21</v>
      </c>
      <c r="L125" s="47">
        <f t="shared" si="37"/>
        <v>25200</v>
      </c>
      <c r="M125" s="47">
        <f t="shared" si="37"/>
        <v>18690</v>
      </c>
      <c r="N125" s="47">
        <f t="shared" si="37"/>
        <v>2354940</v>
      </c>
      <c r="O125" s="47">
        <f t="shared" si="37"/>
        <v>147</v>
      </c>
      <c r="P125" s="47">
        <f t="shared" si="37"/>
        <v>117453</v>
      </c>
      <c r="Q125" s="47">
        <f t="shared" si="37"/>
        <v>8</v>
      </c>
      <c r="R125" s="47">
        <f t="shared" si="37"/>
        <v>6304</v>
      </c>
      <c r="S125" s="47">
        <f t="shared" si="37"/>
        <v>17019</v>
      </c>
      <c r="T125" s="47">
        <f t="shared" si="37"/>
        <v>1497672</v>
      </c>
      <c r="U125" s="47">
        <f t="shared" si="37"/>
        <v>2</v>
      </c>
      <c r="V125" s="47">
        <f t="shared" si="37"/>
        <v>388</v>
      </c>
      <c r="W125" s="47">
        <f t="shared" si="37"/>
        <v>1</v>
      </c>
      <c r="X125" s="47">
        <f t="shared" si="37"/>
        <v>788</v>
      </c>
      <c r="Y125" s="47">
        <f t="shared" si="37"/>
        <v>27595</v>
      </c>
      <c r="Z125" s="47">
        <f t="shared" si="37"/>
        <v>993420</v>
      </c>
      <c r="AA125" s="47">
        <f t="shared" si="37"/>
        <v>27609</v>
      </c>
      <c r="AB125" s="47">
        <f t="shared" si="37"/>
        <v>1187187</v>
      </c>
    </row>
    <row r="126" spans="1:28" s="33" customFormat="1" ht="14.25">
      <c r="A126" s="44" t="s">
        <v>155</v>
      </c>
      <c r="B126" s="38">
        <f aca="true" t="shared" si="38" ref="B126:B131">ROUNDUP((F126+H126+J126+L126)/10000,2)</f>
        <v>0</v>
      </c>
      <c r="C126" s="38">
        <f aca="true" t="shared" si="39" ref="C126:C131">ROUNDUP((N126+P126+R126+T126+V126+X126+Z126+AB126)/10000,2)</f>
        <v>0</v>
      </c>
      <c r="D126" s="45">
        <f t="shared" si="36"/>
        <v>0</v>
      </c>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row>
    <row r="127" spans="1:28" s="33" customFormat="1" ht="14.25">
      <c r="A127" s="44" t="s">
        <v>156</v>
      </c>
      <c r="B127" s="38">
        <f t="shared" si="38"/>
        <v>51.6</v>
      </c>
      <c r="C127" s="38">
        <f t="shared" si="39"/>
        <v>108.43</v>
      </c>
      <c r="D127" s="45">
        <f t="shared" si="36"/>
        <v>160.03</v>
      </c>
      <c r="E127" s="46">
        <v>1626</v>
      </c>
      <c r="F127" s="46">
        <v>81300</v>
      </c>
      <c r="G127" s="46">
        <v>814</v>
      </c>
      <c r="H127" s="46">
        <v>407000</v>
      </c>
      <c r="I127" s="46">
        <v>13</v>
      </c>
      <c r="J127" s="46">
        <v>24050</v>
      </c>
      <c r="K127" s="46">
        <v>3</v>
      </c>
      <c r="L127" s="46">
        <v>3600</v>
      </c>
      <c r="M127" s="46">
        <v>3344</v>
      </c>
      <c r="N127" s="46">
        <v>421344</v>
      </c>
      <c r="O127" s="46">
        <v>24</v>
      </c>
      <c r="P127" s="46">
        <v>19176</v>
      </c>
      <c r="Q127" s="46">
        <v>3</v>
      </c>
      <c r="R127" s="46">
        <v>2364</v>
      </c>
      <c r="S127" s="46">
        <v>3095</v>
      </c>
      <c r="T127" s="46">
        <v>272360</v>
      </c>
      <c r="U127" s="46">
        <v>0</v>
      </c>
      <c r="V127" s="46">
        <v>0</v>
      </c>
      <c r="W127" s="46">
        <v>1</v>
      </c>
      <c r="X127" s="46">
        <v>788</v>
      </c>
      <c r="Y127" s="46">
        <v>4611</v>
      </c>
      <c r="Z127" s="46">
        <v>165996</v>
      </c>
      <c r="AA127" s="46">
        <v>4703</v>
      </c>
      <c r="AB127" s="46">
        <v>202229</v>
      </c>
    </row>
    <row r="128" spans="1:28" s="33" customFormat="1" ht="14.25">
      <c r="A128" s="44" t="s">
        <v>157</v>
      </c>
      <c r="B128" s="38">
        <f t="shared" si="38"/>
        <v>89.3</v>
      </c>
      <c r="C128" s="38">
        <f t="shared" si="39"/>
        <v>295.76</v>
      </c>
      <c r="D128" s="45">
        <f t="shared" si="36"/>
        <v>385.06</v>
      </c>
      <c r="E128" s="46">
        <v>6663</v>
      </c>
      <c r="F128" s="46">
        <v>333150</v>
      </c>
      <c r="G128" s="46">
        <v>710</v>
      </c>
      <c r="H128" s="46">
        <v>355000</v>
      </c>
      <c r="I128" s="46">
        <v>101</v>
      </c>
      <c r="J128" s="46">
        <v>186850</v>
      </c>
      <c r="K128" s="46">
        <v>15</v>
      </c>
      <c r="L128" s="46">
        <v>18000</v>
      </c>
      <c r="M128" s="46">
        <v>8744</v>
      </c>
      <c r="N128" s="46">
        <v>1101744</v>
      </c>
      <c r="O128" s="46">
        <v>91</v>
      </c>
      <c r="P128" s="46">
        <v>72709</v>
      </c>
      <c r="Q128" s="46">
        <v>4</v>
      </c>
      <c r="R128" s="46">
        <v>3152</v>
      </c>
      <c r="S128" s="46">
        <v>8269</v>
      </c>
      <c r="T128" s="46">
        <v>727672</v>
      </c>
      <c r="U128" s="46">
        <v>1</v>
      </c>
      <c r="V128" s="46">
        <v>194</v>
      </c>
      <c r="W128" s="46">
        <v>0</v>
      </c>
      <c r="X128" s="46">
        <v>0</v>
      </c>
      <c r="Y128" s="46">
        <v>13188</v>
      </c>
      <c r="Z128" s="46">
        <v>474768</v>
      </c>
      <c r="AA128" s="46">
        <v>13425</v>
      </c>
      <c r="AB128" s="46">
        <v>577275</v>
      </c>
    </row>
    <row r="129" spans="1:28" s="33" customFormat="1" ht="14.25">
      <c r="A129" s="44" t="s">
        <v>158</v>
      </c>
      <c r="B129" s="38">
        <f t="shared" si="38"/>
        <v>29.36</v>
      </c>
      <c r="C129" s="38">
        <f t="shared" si="39"/>
        <v>120.11</v>
      </c>
      <c r="D129" s="45">
        <f t="shared" si="36"/>
        <v>149.47</v>
      </c>
      <c r="E129" s="46">
        <v>1375</v>
      </c>
      <c r="F129" s="46">
        <v>68750</v>
      </c>
      <c r="G129" s="46">
        <v>303</v>
      </c>
      <c r="H129" s="46">
        <v>151500</v>
      </c>
      <c r="I129" s="46">
        <v>39</v>
      </c>
      <c r="J129" s="46">
        <v>72150</v>
      </c>
      <c r="K129" s="46">
        <v>1</v>
      </c>
      <c r="L129" s="46">
        <v>1200</v>
      </c>
      <c r="M129" s="46">
        <v>3783</v>
      </c>
      <c r="N129" s="46">
        <v>476658</v>
      </c>
      <c r="O129" s="46">
        <v>11</v>
      </c>
      <c r="P129" s="46">
        <v>8789</v>
      </c>
      <c r="Q129" s="46">
        <v>1</v>
      </c>
      <c r="R129" s="46">
        <v>788</v>
      </c>
      <c r="S129" s="46">
        <v>3256</v>
      </c>
      <c r="T129" s="46">
        <v>286528</v>
      </c>
      <c r="U129" s="46">
        <v>0</v>
      </c>
      <c r="V129" s="46">
        <v>0</v>
      </c>
      <c r="W129" s="46">
        <v>0</v>
      </c>
      <c r="X129" s="46">
        <v>0</v>
      </c>
      <c r="Y129" s="46">
        <v>5594</v>
      </c>
      <c r="Z129" s="46">
        <v>201384</v>
      </c>
      <c r="AA129" s="46">
        <v>5277</v>
      </c>
      <c r="AB129" s="46">
        <v>226911</v>
      </c>
    </row>
    <row r="130" spans="1:28" s="33" customFormat="1" ht="14.25">
      <c r="A130" s="44" t="s">
        <v>159</v>
      </c>
      <c r="B130" s="38">
        <f t="shared" si="38"/>
        <v>18.19</v>
      </c>
      <c r="C130" s="38">
        <f t="shared" si="39"/>
        <v>91.54</v>
      </c>
      <c r="D130" s="45">
        <f t="shared" si="36"/>
        <v>109.73</v>
      </c>
      <c r="E130" s="46">
        <v>1532</v>
      </c>
      <c r="F130" s="46">
        <v>76600</v>
      </c>
      <c r="G130" s="46">
        <v>165</v>
      </c>
      <c r="H130" s="46">
        <v>82500</v>
      </c>
      <c r="I130" s="46">
        <v>11</v>
      </c>
      <c r="J130" s="46">
        <v>20350</v>
      </c>
      <c r="K130" s="46">
        <v>2</v>
      </c>
      <c r="L130" s="46">
        <v>2400</v>
      </c>
      <c r="M130" s="46">
        <v>2819</v>
      </c>
      <c r="N130" s="46">
        <v>355194</v>
      </c>
      <c r="O130" s="46">
        <v>21</v>
      </c>
      <c r="P130" s="46">
        <v>16779</v>
      </c>
      <c r="Q130" s="46">
        <v>0</v>
      </c>
      <c r="R130" s="46">
        <v>0</v>
      </c>
      <c r="S130" s="46">
        <v>2399</v>
      </c>
      <c r="T130" s="46">
        <v>211112</v>
      </c>
      <c r="U130" s="46">
        <v>1</v>
      </c>
      <c r="V130" s="46">
        <v>194</v>
      </c>
      <c r="W130" s="46">
        <v>0</v>
      </c>
      <c r="X130" s="46">
        <v>0</v>
      </c>
      <c r="Y130" s="46">
        <v>4202</v>
      </c>
      <c r="Z130" s="46">
        <v>151272</v>
      </c>
      <c r="AA130" s="46">
        <v>4204</v>
      </c>
      <c r="AB130" s="46">
        <v>180772</v>
      </c>
    </row>
    <row r="131" spans="1:28" s="33" customFormat="1" ht="14.25">
      <c r="A131" s="44" t="s">
        <v>160</v>
      </c>
      <c r="B131" s="38">
        <f t="shared" si="38"/>
        <v>46.14</v>
      </c>
      <c r="C131" s="38">
        <f t="shared" si="39"/>
        <v>76.93</v>
      </c>
      <c r="D131" s="45">
        <f t="shared" si="36"/>
        <v>123.07000000000001</v>
      </c>
      <c r="E131" s="46">
        <v>1365</v>
      </c>
      <c r="F131" s="46">
        <v>68250</v>
      </c>
      <c r="G131" s="46">
        <v>651</v>
      </c>
      <c r="H131" s="46">
        <v>325500</v>
      </c>
      <c r="I131" s="46">
        <v>32</v>
      </c>
      <c r="J131" s="46">
        <v>59200</v>
      </c>
      <c r="K131" s="46">
        <v>7</v>
      </c>
      <c r="L131" s="46">
        <v>8400</v>
      </c>
      <c r="M131" s="46">
        <v>2378</v>
      </c>
      <c r="N131" s="46">
        <v>299628</v>
      </c>
      <c r="O131" s="46">
        <v>37</v>
      </c>
      <c r="P131" s="46">
        <v>29563</v>
      </c>
      <c r="Q131" s="46">
        <v>2</v>
      </c>
      <c r="R131" s="46">
        <v>1576</v>
      </c>
      <c r="S131" s="46">
        <v>1784</v>
      </c>
      <c r="T131" s="46">
        <v>156992</v>
      </c>
      <c r="U131" s="46">
        <v>0</v>
      </c>
      <c r="V131" s="46">
        <v>0</v>
      </c>
      <c r="W131" s="46">
        <v>3</v>
      </c>
      <c r="X131" s="46">
        <v>2364</v>
      </c>
      <c r="Y131" s="46">
        <v>3628</v>
      </c>
      <c r="Z131" s="46">
        <v>130608</v>
      </c>
      <c r="AA131" s="46">
        <v>3454</v>
      </c>
      <c r="AB131" s="46">
        <v>148522</v>
      </c>
    </row>
  </sheetData>
  <sheetProtection/>
  <mergeCells count="9">
    <mergeCell ref="A2:AB2"/>
    <mergeCell ref="A3:AB3"/>
    <mergeCell ref="A4:AB4"/>
    <mergeCell ref="B5:D5"/>
    <mergeCell ref="E5:L5"/>
    <mergeCell ref="M5:R5"/>
    <mergeCell ref="S5:X5"/>
    <mergeCell ref="Y5:AB5"/>
    <mergeCell ref="A5:A7"/>
  </mergeCells>
  <printOptions horizontalCentered="1"/>
  <pageMargins left="0.3145833333333333" right="0.3145833333333333" top="0.39305555555555555" bottom="0.5902777777777778" header="0.2986111111111111" footer="0.2986111111111111"/>
  <pageSetup fitToHeight="0" fitToWidth="1" horizontalDpi="600" verticalDpi="600" orientation="landscape" paperSize="9" scale="53"/>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64"/>
  <sheetViews>
    <sheetView zoomScaleSheetLayoutView="100" workbookViewId="0" topLeftCell="A1">
      <pane xSplit="7" ySplit="7" topLeftCell="H74" activePane="bottomRight" state="frozen"/>
      <selection pane="bottomRight" activeCell="Q24" sqref="Q24"/>
    </sheetView>
  </sheetViews>
  <sheetFormatPr defaultColWidth="8.125" defaultRowHeight="12" customHeight="1"/>
  <cols>
    <col min="1" max="1" width="20.375" style="2" customWidth="1"/>
    <col min="2" max="2" width="11.375" style="2" customWidth="1"/>
    <col min="3" max="3" width="11.625" style="2" customWidth="1"/>
    <col min="4" max="4" width="12.125" style="2" customWidth="1"/>
    <col min="5" max="5" width="10.875" style="3" customWidth="1"/>
    <col min="6" max="6" width="9.875" style="3" customWidth="1"/>
    <col min="7" max="7" width="11.50390625" style="4" customWidth="1"/>
    <col min="8" max="8" width="11.625" style="4" customWidth="1"/>
    <col min="9" max="9" width="11.875" style="4" customWidth="1"/>
    <col min="10" max="10" width="11.625" style="4" customWidth="1"/>
    <col min="11" max="11" width="12.375" style="2" customWidth="1"/>
    <col min="12" max="12" width="14.25390625" style="2" customWidth="1"/>
    <col min="13" max="13" width="8.125" style="2" customWidth="1"/>
    <col min="14" max="14" width="10.625" style="2" bestFit="1" customWidth="1"/>
    <col min="15" max="248" width="8.125" style="2" customWidth="1"/>
    <col min="249" max="253" width="8.125" style="5" customWidth="1"/>
  </cols>
  <sheetData>
    <row r="1" ht="12" customHeight="1">
      <c r="A1" s="2" t="s">
        <v>372</v>
      </c>
    </row>
    <row r="2" spans="1:12" ht="15.75" customHeight="1">
      <c r="A2" s="6" t="s">
        <v>373</v>
      </c>
      <c r="B2" s="6"/>
      <c r="C2" s="6"/>
      <c r="D2" s="6"/>
      <c r="E2" s="6"/>
      <c r="F2" s="6"/>
      <c r="G2" s="6"/>
      <c r="H2" s="6"/>
      <c r="I2" s="6"/>
      <c r="J2" s="6"/>
      <c r="K2" s="6"/>
      <c r="L2" s="6"/>
    </row>
    <row r="3" spans="1:12" ht="12" customHeight="1">
      <c r="A3" s="7"/>
      <c r="B3" s="8" t="s">
        <v>374</v>
      </c>
      <c r="C3" s="8"/>
      <c r="D3" s="8"/>
      <c r="E3" s="8" t="s">
        <v>375</v>
      </c>
      <c r="F3" s="8"/>
      <c r="G3" s="8"/>
      <c r="H3" s="8" t="s">
        <v>376</v>
      </c>
      <c r="I3" s="8"/>
      <c r="J3" s="8"/>
      <c r="K3" s="9" t="s">
        <v>377</v>
      </c>
      <c r="L3" s="9" t="s">
        <v>378</v>
      </c>
    </row>
    <row r="4" spans="1:12" ht="12" customHeight="1">
      <c r="A4" s="7"/>
      <c r="B4" s="9" t="s">
        <v>20</v>
      </c>
      <c r="C4" s="9" t="s">
        <v>21</v>
      </c>
      <c r="D4" s="9" t="s">
        <v>379</v>
      </c>
      <c r="E4" s="9" t="s">
        <v>20</v>
      </c>
      <c r="F4" s="9" t="s">
        <v>21</v>
      </c>
      <c r="G4" s="10" t="s">
        <v>379</v>
      </c>
      <c r="H4" s="9" t="s">
        <v>20</v>
      </c>
      <c r="I4" s="9" t="s">
        <v>21</v>
      </c>
      <c r="J4" s="10" t="s">
        <v>379</v>
      </c>
      <c r="K4" s="9"/>
      <c r="L4" s="9"/>
    </row>
    <row r="5" spans="1:12" ht="12" customHeight="1">
      <c r="A5" s="7"/>
      <c r="B5" s="9" t="s">
        <v>380</v>
      </c>
      <c r="C5" s="9" t="s">
        <v>380</v>
      </c>
      <c r="D5" s="9" t="s">
        <v>348</v>
      </c>
      <c r="E5" s="9" t="s">
        <v>348</v>
      </c>
      <c r="F5" s="9" t="s">
        <v>348</v>
      </c>
      <c r="G5" s="9" t="s">
        <v>348</v>
      </c>
      <c r="H5" s="9" t="s">
        <v>348</v>
      </c>
      <c r="I5" s="9" t="s">
        <v>348</v>
      </c>
      <c r="J5" s="9" t="s">
        <v>348</v>
      </c>
      <c r="K5" s="19" t="s">
        <v>348</v>
      </c>
      <c r="L5" s="20" t="s">
        <v>348</v>
      </c>
    </row>
    <row r="6" spans="1:12" ht="12" customHeight="1">
      <c r="A6" s="11" t="s">
        <v>4</v>
      </c>
      <c r="B6" s="11" t="s">
        <v>23</v>
      </c>
      <c r="C6" s="11" t="s">
        <v>24</v>
      </c>
      <c r="D6" s="11" t="s">
        <v>178</v>
      </c>
      <c r="E6" s="11" t="s">
        <v>26</v>
      </c>
      <c r="F6" s="11" t="s">
        <v>276</v>
      </c>
      <c r="G6" s="11" t="s">
        <v>28</v>
      </c>
      <c r="H6" s="11" t="s">
        <v>381</v>
      </c>
      <c r="I6" s="11" t="s">
        <v>382</v>
      </c>
      <c r="J6" s="11" t="s">
        <v>383</v>
      </c>
      <c r="K6" s="21" t="s">
        <v>384</v>
      </c>
      <c r="L6" s="9" t="s">
        <v>385</v>
      </c>
    </row>
    <row r="7" spans="1:12" s="1" customFormat="1" ht="12" customHeight="1">
      <c r="A7" s="9" t="s">
        <v>37</v>
      </c>
      <c r="B7" s="12">
        <f>B8</f>
        <v>55309000</v>
      </c>
      <c r="C7" s="12">
        <f aca="true" t="shared" si="0" ref="C7:L7">C8</f>
        <v>174351456</v>
      </c>
      <c r="D7" s="12">
        <f t="shared" si="0"/>
        <v>22966.05</v>
      </c>
      <c r="E7" s="12">
        <f t="shared" si="0"/>
        <v>3239.2099999999996</v>
      </c>
      <c r="F7" s="12">
        <f t="shared" si="0"/>
        <v>14524.069999999998</v>
      </c>
      <c r="G7" s="12">
        <f t="shared" si="0"/>
        <v>17763.28</v>
      </c>
      <c r="H7" s="12">
        <f t="shared" si="0"/>
        <v>2291.69</v>
      </c>
      <c r="I7" s="12">
        <f t="shared" si="0"/>
        <v>2911.0800000000036</v>
      </c>
      <c r="J7" s="12">
        <f t="shared" si="0"/>
        <v>5202.77</v>
      </c>
      <c r="K7" s="12">
        <f t="shared" si="0"/>
        <v>-10296.99</v>
      </c>
      <c r="L7" s="12">
        <f t="shared" si="0"/>
        <v>-15499.76</v>
      </c>
    </row>
    <row r="8" spans="1:12" ht="12" customHeight="1">
      <c r="A8" s="13" t="s">
        <v>40</v>
      </c>
      <c r="B8" s="12">
        <f aca="true" t="shared" si="1" ref="B8:F8">B9+B19+B32+B42+B53+B63+B72+B78+B87+B102+B110+B122+B133+B140+B153</f>
        <v>55309000</v>
      </c>
      <c r="C8" s="12">
        <f t="shared" si="1"/>
        <v>174351456</v>
      </c>
      <c r="D8" s="12">
        <f>ROUNDUP((B8+C8)/10000,2)</f>
        <v>22966.05</v>
      </c>
      <c r="E8" s="12">
        <f t="shared" si="1"/>
        <v>3239.2099999999996</v>
      </c>
      <c r="F8" s="12">
        <f t="shared" si="1"/>
        <v>14524.069999999998</v>
      </c>
      <c r="G8" s="12">
        <f>E8+F8</f>
        <v>17763.28</v>
      </c>
      <c r="H8" s="12">
        <f>ROUNDUP(B8/10000,2)-E8</f>
        <v>2291.69</v>
      </c>
      <c r="I8" s="12">
        <f>ROUNDUP(C8/10000,2)-F8</f>
        <v>2911.0800000000036</v>
      </c>
      <c r="J8" s="12">
        <f>D8-G8</f>
        <v>5202.77</v>
      </c>
      <c r="K8" s="22">
        <f>K9+K19+K32+K42+K53+K63+K72+K78+K87+K102+K110+K122+K133+K140+K153</f>
        <v>-10296.99</v>
      </c>
      <c r="L8" s="23">
        <f>K8-J8</f>
        <v>-15499.76</v>
      </c>
    </row>
    <row r="9" spans="1:12" ht="12" customHeight="1">
      <c r="A9" s="9" t="s">
        <v>41</v>
      </c>
      <c r="B9" s="12">
        <f aca="true" t="shared" si="2" ref="B9:L9">SUM(B10:B18)</f>
        <v>4515600</v>
      </c>
      <c r="C9" s="12">
        <f t="shared" si="2"/>
        <v>10393632</v>
      </c>
      <c r="D9" s="12">
        <f t="shared" si="2"/>
        <v>1490.9599999999998</v>
      </c>
      <c r="E9" s="12">
        <f t="shared" si="2"/>
        <v>34.7</v>
      </c>
      <c r="F9" s="12">
        <f t="shared" si="2"/>
        <v>857.5000000000001</v>
      </c>
      <c r="G9" s="12">
        <f t="shared" si="2"/>
        <v>892.2</v>
      </c>
      <c r="H9" s="12">
        <f t="shared" si="2"/>
        <v>416.86</v>
      </c>
      <c r="I9" s="12">
        <f t="shared" si="2"/>
        <v>181.89999999999998</v>
      </c>
      <c r="J9" s="12">
        <f t="shared" si="2"/>
        <v>598.7599999999999</v>
      </c>
      <c r="K9" s="12">
        <f t="shared" si="2"/>
        <v>-1743.3300000000002</v>
      </c>
      <c r="L9" s="12">
        <f t="shared" si="2"/>
        <v>-2342.0899999999997</v>
      </c>
    </row>
    <row r="10" spans="1:12" ht="12" customHeight="1">
      <c r="A10" s="14" t="s">
        <v>42</v>
      </c>
      <c r="B10" s="15">
        <v>0</v>
      </c>
      <c r="C10" s="15">
        <v>0</v>
      </c>
      <c r="D10" s="15">
        <f aca="true" t="shared" si="3" ref="D10:D18">ROUNDUP((B10+C10)/10000,2)</f>
        <v>0</v>
      </c>
      <c r="E10" s="16"/>
      <c r="F10" s="16"/>
      <c r="G10" s="15">
        <f aca="true" t="shared" si="4" ref="G10:G18">E10+F10</f>
        <v>0</v>
      </c>
      <c r="H10" s="15">
        <f aca="true" t="shared" si="5" ref="H10:H18">ROUNDUP(B10/10000,2)-E10</f>
        <v>0</v>
      </c>
      <c r="I10" s="15">
        <f aca="true" t="shared" si="6" ref="I10:I18">ROUNDUP(C10/10000,2)-F10</f>
        <v>0</v>
      </c>
      <c r="J10" s="15">
        <f aca="true" t="shared" si="7" ref="J10:J18">D10-G10</f>
        <v>0</v>
      </c>
      <c r="K10" s="24">
        <v>-240.26</v>
      </c>
      <c r="L10" s="25">
        <f aca="true" t="shared" si="8" ref="L10:L18">K10-J10</f>
        <v>-240.26</v>
      </c>
    </row>
    <row r="11" spans="1:12" ht="12" customHeight="1">
      <c r="A11" s="14" t="s">
        <v>386</v>
      </c>
      <c r="B11" s="15"/>
      <c r="C11" s="15"/>
      <c r="D11" s="15">
        <f t="shared" si="3"/>
        <v>0</v>
      </c>
      <c r="E11" s="16"/>
      <c r="F11" s="16"/>
      <c r="G11" s="15">
        <f t="shared" si="4"/>
        <v>0</v>
      </c>
      <c r="H11" s="15">
        <f t="shared" si="5"/>
        <v>0</v>
      </c>
      <c r="I11" s="15">
        <f t="shared" si="6"/>
        <v>0</v>
      </c>
      <c r="J11" s="15">
        <f t="shared" si="7"/>
        <v>0</v>
      </c>
      <c r="L11" s="25">
        <f t="shared" si="8"/>
        <v>0</v>
      </c>
    </row>
    <row r="12" spans="1:14" ht="12" customHeight="1">
      <c r="A12" s="14" t="s">
        <v>43</v>
      </c>
      <c r="B12" s="15">
        <v>603500</v>
      </c>
      <c r="C12" s="15">
        <v>963648</v>
      </c>
      <c r="D12" s="15">
        <f t="shared" si="3"/>
        <v>156.72</v>
      </c>
      <c r="E12" s="16">
        <v>12.7</v>
      </c>
      <c r="F12" s="16">
        <v>108.2</v>
      </c>
      <c r="G12" s="15">
        <f t="shared" si="4"/>
        <v>120.9</v>
      </c>
      <c r="H12" s="15">
        <f t="shared" si="5"/>
        <v>47.650000000000006</v>
      </c>
      <c r="I12" s="15">
        <f t="shared" si="6"/>
        <v>-11.829999999999998</v>
      </c>
      <c r="J12" s="15">
        <f t="shared" si="7"/>
        <v>35.81999999999999</v>
      </c>
      <c r="K12" s="26">
        <v>-188.73</v>
      </c>
      <c r="L12" s="25">
        <f t="shared" si="8"/>
        <v>-224.54999999999998</v>
      </c>
      <c r="M12" s="3"/>
      <c r="N12" s="5"/>
    </row>
    <row r="13" spans="1:14" ht="12" customHeight="1">
      <c r="A13" s="14" t="s">
        <v>44</v>
      </c>
      <c r="B13" s="15">
        <v>532500</v>
      </c>
      <c r="C13" s="15">
        <v>1376640</v>
      </c>
      <c r="D13" s="15">
        <f t="shared" si="3"/>
        <v>190.92</v>
      </c>
      <c r="E13" s="16">
        <v>8.5</v>
      </c>
      <c r="F13" s="16">
        <v>164.9</v>
      </c>
      <c r="G13" s="15">
        <f t="shared" si="4"/>
        <v>173.4</v>
      </c>
      <c r="H13" s="15">
        <f t="shared" si="5"/>
        <v>44.75</v>
      </c>
      <c r="I13" s="15">
        <f t="shared" si="6"/>
        <v>-27.230000000000018</v>
      </c>
      <c r="J13" s="15">
        <f t="shared" si="7"/>
        <v>17.519999999999982</v>
      </c>
      <c r="K13" s="26">
        <v>0</v>
      </c>
      <c r="L13" s="25">
        <f t="shared" si="8"/>
        <v>-17.519999999999982</v>
      </c>
      <c r="M13" s="3"/>
      <c r="N13" s="5"/>
    </row>
    <row r="14" spans="1:14" ht="12" customHeight="1">
      <c r="A14" s="14" t="s">
        <v>46</v>
      </c>
      <c r="B14" s="15">
        <v>220100</v>
      </c>
      <c r="C14" s="15">
        <v>447408</v>
      </c>
      <c r="D14" s="15">
        <f t="shared" si="3"/>
        <v>66.76</v>
      </c>
      <c r="E14" s="16">
        <v>0.3</v>
      </c>
      <c r="F14" s="16">
        <v>62.1</v>
      </c>
      <c r="G14" s="15">
        <f t="shared" si="4"/>
        <v>62.4</v>
      </c>
      <c r="H14" s="15">
        <f t="shared" si="5"/>
        <v>21.71</v>
      </c>
      <c r="I14" s="15">
        <f t="shared" si="6"/>
        <v>-17.35</v>
      </c>
      <c r="J14" s="15">
        <f t="shared" si="7"/>
        <v>4.3600000000000065</v>
      </c>
      <c r="K14" s="26">
        <v>-229.44000000000003</v>
      </c>
      <c r="L14" s="25">
        <f t="shared" si="8"/>
        <v>-233.80000000000004</v>
      </c>
      <c r="M14" s="3"/>
      <c r="N14" s="5"/>
    </row>
    <row r="15" spans="1:14" ht="12" customHeight="1">
      <c r="A15" s="14" t="s">
        <v>47</v>
      </c>
      <c r="B15" s="15">
        <v>1235400</v>
      </c>
      <c r="C15" s="15">
        <v>2753280</v>
      </c>
      <c r="D15" s="15">
        <f t="shared" si="3"/>
        <v>398.87</v>
      </c>
      <c r="E15" s="16">
        <v>4.3</v>
      </c>
      <c r="F15" s="16">
        <v>235.7</v>
      </c>
      <c r="G15" s="15">
        <f t="shared" si="4"/>
        <v>240</v>
      </c>
      <c r="H15" s="15">
        <f t="shared" si="5"/>
        <v>119.24000000000001</v>
      </c>
      <c r="I15" s="15">
        <f t="shared" si="6"/>
        <v>39.629999999999995</v>
      </c>
      <c r="J15" s="15">
        <f t="shared" si="7"/>
        <v>158.87</v>
      </c>
      <c r="K15" s="26">
        <v>-46.45</v>
      </c>
      <c r="L15" s="25">
        <f t="shared" si="8"/>
        <v>-205.32</v>
      </c>
      <c r="M15" s="3"/>
      <c r="N15" s="5"/>
    </row>
    <row r="16" spans="1:14" ht="12" customHeight="1">
      <c r="A16" s="14" t="s">
        <v>48</v>
      </c>
      <c r="B16" s="15">
        <v>1306400</v>
      </c>
      <c r="C16" s="15">
        <v>3716928</v>
      </c>
      <c r="D16" s="15">
        <f t="shared" si="3"/>
        <v>502.34</v>
      </c>
      <c r="E16" s="16">
        <v>5.5</v>
      </c>
      <c r="F16" s="16">
        <v>169.1</v>
      </c>
      <c r="G16" s="15">
        <f t="shared" si="4"/>
        <v>174.6</v>
      </c>
      <c r="H16" s="15">
        <f t="shared" si="5"/>
        <v>125.13999999999999</v>
      </c>
      <c r="I16" s="15">
        <f t="shared" si="6"/>
        <v>202.6</v>
      </c>
      <c r="J16" s="15">
        <f t="shared" si="7"/>
        <v>327.74</v>
      </c>
      <c r="K16" s="26">
        <v>-636.77</v>
      </c>
      <c r="L16" s="25">
        <f t="shared" si="8"/>
        <v>-964.51</v>
      </c>
      <c r="M16" s="3"/>
      <c r="N16" s="5"/>
    </row>
    <row r="17" spans="1:14" ht="12" customHeight="1">
      <c r="A17" s="14" t="s">
        <v>45</v>
      </c>
      <c r="B17" s="15">
        <v>575100</v>
      </c>
      <c r="C17" s="15">
        <v>1032480</v>
      </c>
      <c r="D17" s="15">
        <f t="shared" si="3"/>
        <v>160.76</v>
      </c>
      <c r="E17" s="16">
        <v>1.8</v>
      </c>
      <c r="F17" s="16">
        <v>109.8</v>
      </c>
      <c r="G17" s="15">
        <f t="shared" si="4"/>
        <v>111.6</v>
      </c>
      <c r="H17" s="15">
        <f t="shared" si="5"/>
        <v>55.71</v>
      </c>
      <c r="I17" s="15">
        <f t="shared" si="6"/>
        <v>-6.549999999999997</v>
      </c>
      <c r="J17" s="15">
        <f t="shared" si="7"/>
        <v>49.16</v>
      </c>
      <c r="K17" s="26">
        <v>-396</v>
      </c>
      <c r="L17" s="25">
        <f t="shared" si="8"/>
        <v>-445.15999999999997</v>
      </c>
      <c r="M17" s="3"/>
      <c r="N17" s="5"/>
    </row>
    <row r="18" spans="1:12" ht="12" customHeight="1">
      <c r="A18" s="14" t="s">
        <v>49</v>
      </c>
      <c r="B18" s="15">
        <v>42600</v>
      </c>
      <c r="C18" s="15">
        <v>103248</v>
      </c>
      <c r="D18" s="15">
        <f t="shared" si="3"/>
        <v>14.59</v>
      </c>
      <c r="E18" s="16">
        <v>1.6</v>
      </c>
      <c r="F18" s="16">
        <v>7.7</v>
      </c>
      <c r="G18" s="15">
        <f t="shared" si="4"/>
        <v>9.3</v>
      </c>
      <c r="H18" s="15">
        <f t="shared" si="5"/>
        <v>2.6599999999999997</v>
      </c>
      <c r="I18" s="15">
        <f t="shared" si="6"/>
        <v>2.63</v>
      </c>
      <c r="J18" s="15">
        <f t="shared" si="7"/>
        <v>5.289999999999999</v>
      </c>
      <c r="K18" s="26">
        <v>-5.68</v>
      </c>
      <c r="L18" s="25">
        <f t="shared" si="8"/>
        <v>-10.969999999999999</v>
      </c>
    </row>
    <row r="19" spans="1:12" ht="12" customHeight="1">
      <c r="A19" s="9" t="s">
        <v>50</v>
      </c>
      <c r="B19" s="12">
        <f aca="true" t="shared" si="9" ref="B19:L19">SUM(B20:B31)</f>
        <v>2250700</v>
      </c>
      <c r="C19" s="12">
        <f t="shared" si="9"/>
        <v>5437728</v>
      </c>
      <c r="D19" s="12">
        <f t="shared" si="9"/>
        <v>768.89</v>
      </c>
      <c r="E19" s="12">
        <f t="shared" si="9"/>
        <v>186.3</v>
      </c>
      <c r="F19" s="12">
        <f t="shared" si="9"/>
        <v>789.4999999999999</v>
      </c>
      <c r="G19" s="12">
        <f t="shared" si="9"/>
        <v>975.8000000000001</v>
      </c>
      <c r="H19" s="12">
        <f t="shared" si="9"/>
        <v>38.769999999999996</v>
      </c>
      <c r="I19" s="12">
        <f t="shared" si="9"/>
        <v>-245.67999999999998</v>
      </c>
      <c r="J19" s="12">
        <f t="shared" si="9"/>
        <v>-206.91000000000003</v>
      </c>
      <c r="K19" s="12">
        <f t="shared" si="9"/>
        <v>-161.51</v>
      </c>
      <c r="L19" s="12">
        <f t="shared" si="9"/>
        <v>45.39999999999998</v>
      </c>
    </row>
    <row r="20" spans="1:14" ht="12" customHeight="1">
      <c r="A20" s="14" t="s">
        <v>51</v>
      </c>
      <c r="B20" s="15">
        <v>0</v>
      </c>
      <c r="C20" s="15">
        <v>0</v>
      </c>
      <c r="D20" s="15">
        <f aca="true" t="shared" si="10" ref="D20:D31">ROUNDUP((B20+C20)/10000,2)</f>
        <v>0</v>
      </c>
      <c r="E20" s="16"/>
      <c r="F20" s="16"/>
      <c r="G20" s="15">
        <f aca="true" t="shared" si="11" ref="G20:G31">E20+F20</f>
        <v>0</v>
      </c>
      <c r="H20" s="15">
        <f aca="true" t="shared" si="12" ref="H20:H31">ROUNDUP(B20/10000,2)-E20</f>
        <v>0</v>
      </c>
      <c r="I20" s="15">
        <f aca="true" t="shared" si="13" ref="I20:I31">ROUNDUP(C20/10000,2)-F20</f>
        <v>0</v>
      </c>
      <c r="J20" s="15">
        <f aca="true" t="shared" si="14" ref="J20:J31">D20-G20</f>
        <v>0</v>
      </c>
      <c r="K20" s="27">
        <v>-37.19</v>
      </c>
      <c r="L20" s="25">
        <f aca="true" t="shared" si="15" ref="L20:L31">K20-J20</f>
        <v>-37.19</v>
      </c>
      <c r="M20" s="3"/>
      <c r="N20" s="5"/>
    </row>
    <row r="21" spans="1:14" ht="12" customHeight="1">
      <c r="A21" s="14" t="s">
        <v>387</v>
      </c>
      <c r="B21" s="15"/>
      <c r="C21" s="15"/>
      <c r="D21" s="15">
        <f t="shared" si="10"/>
        <v>0</v>
      </c>
      <c r="E21" s="16"/>
      <c r="F21" s="16"/>
      <c r="G21" s="15">
        <f t="shared" si="11"/>
        <v>0</v>
      </c>
      <c r="H21" s="15">
        <f t="shared" si="12"/>
        <v>0</v>
      </c>
      <c r="I21" s="15">
        <f t="shared" si="13"/>
        <v>0</v>
      </c>
      <c r="J21" s="15">
        <f t="shared" si="14"/>
        <v>0</v>
      </c>
      <c r="K21" s="27"/>
      <c r="L21" s="25">
        <f t="shared" si="15"/>
        <v>0</v>
      </c>
      <c r="M21" s="3"/>
      <c r="N21" s="5"/>
    </row>
    <row r="22" spans="1:14" ht="12" customHeight="1">
      <c r="A22" s="14" t="s">
        <v>52</v>
      </c>
      <c r="B22" s="15">
        <v>305300</v>
      </c>
      <c r="C22" s="15">
        <v>550656</v>
      </c>
      <c r="D22" s="15">
        <f t="shared" si="10"/>
        <v>85.6</v>
      </c>
      <c r="E22" s="16">
        <v>3.9</v>
      </c>
      <c r="F22" s="16">
        <v>90.4</v>
      </c>
      <c r="G22" s="15">
        <f t="shared" si="11"/>
        <v>94.30000000000001</v>
      </c>
      <c r="H22" s="15">
        <f t="shared" si="12"/>
        <v>26.630000000000003</v>
      </c>
      <c r="I22" s="15">
        <f t="shared" si="13"/>
        <v>-35.330000000000005</v>
      </c>
      <c r="J22" s="15">
        <f t="shared" si="14"/>
        <v>-8.700000000000017</v>
      </c>
      <c r="K22" s="27">
        <v>-16.25</v>
      </c>
      <c r="L22" s="25">
        <f t="shared" si="15"/>
        <v>-7.549999999999983</v>
      </c>
      <c r="M22" s="3"/>
      <c r="N22" s="5"/>
    </row>
    <row r="23" spans="1:14" ht="12" customHeight="1">
      <c r="A23" s="14" t="s">
        <v>53</v>
      </c>
      <c r="B23" s="15">
        <v>291100</v>
      </c>
      <c r="C23" s="15">
        <v>585072</v>
      </c>
      <c r="D23" s="15">
        <f t="shared" si="10"/>
        <v>87.62</v>
      </c>
      <c r="E23" s="16">
        <v>30.7</v>
      </c>
      <c r="F23" s="16">
        <v>191.5</v>
      </c>
      <c r="G23" s="15">
        <f t="shared" si="11"/>
        <v>222.2</v>
      </c>
      <c r="H23" s="15">
        <f t="shared" si="12"/>
        <v>-1.5899999999999999</v>
      </c>
      <c r="I23" s="15">
        <f t="shared" si="13"/>
        <v>-132.99</v>
      </c>
      <c r="J23" s="15">
        <f t="shared" si="14"/>
        <v>-134.57999999999998</v>
      </c>
      <c r="K23" s="27"/>
      <c r="L23" s="25">
        <f t="shared" si="15"/>
        <v>134.57999999999998</v>
      </c>
      <c r="M23" s="3"/>
      <c r="N23" s="5"/>
    </row>
    <row r="24" spans="1:14" ht="12" customHeight="1">
      <c r="A24" s="14" t="s">
        <v>54</v>
      </c>
      <c r="B24" s="15">
        <v>170400</v>
      </c>
      <c r="C24" s="15">
        <v>412992</v>
      </c>
      <c r="D24" s="15">
        <f t="shared" si="10"/>
        <v>58.34</v>
      </c>
      <c r="E24" s="16">
        <v>14.9</v>
      </c>
      <c r="F24" s="16">
        <v>61.7</v>
      </c>
      <c r="G24" s="15">
        <f t="shared" si="11"/>
        <v>76.60000000000001</v>
      </c>
      <c r="H24" s="15">
        <f t="shared" si="12"/>
        <v>2.139999999999999</v>
      </c>
      <c r="I24" s="15">
        <f t="shared" si="13"/>
        <v>-20.400000000000006</v>
      </c>
      <c r="J24" s="15">
        <f t="shared" si="14"/>
        <v>-18.260000000000005</v>
      </c>
      <c r="K24" s="27"/>
      <c r="L24" s="25">
        <f t="shared" si="15"/>
        <v>18.260000000000005</v>
      </c>
      <c r="M24" s="3"/>
      <c r="N24" s="5"/>
    </row>
    <row r="25" spans="1:14" ht="12" customHeight="1">
      <c r="A25" s="14" t="s">
        <v>55</v>
      </c>
      <c r="B25" s="15">
        <v>291100</v>
      </c>
      <c r="C25" s="15">
        <v>653904</v>
      </c>
      <c r="D25" s="15">
        <f t="shared" si="10"/>
        <v>94.51</v>
      </c>
      <c r="E25" s="16">
        <v>6.5</v>
      </c>
      <c r="F25" s="16">
        <v>86.5</v>
      </c>
      <c r="G25" s="15">
        <f t="shared" si="11"/>
        <v>93</v>
      </c>
      <c r="H25" s="15">
        <f t="shared" si="12"/>
        <v>22.61</v>
      </c>
      <c r="I25" s="15">
        <f t="shared" si="13"/>
        <v>-21.099999999999994</v>
      </c>
      <c r="J25" s="15">
        <f t="shared" si="14"/>
        <v>1.5100000000000051</v>
      </c>
      <c r="K25" s="27"/>
      <c r="L25" s="25">
        <f t="shared" si="15"/>
        <v>-1.5100000000000051</v>
      </c>
      <c r="M25" s="3"/>
      <c r="N25" s="5"/>
    </row>
    <row r="26" spans="1:12" ht="12" customHeight="1">
      <c r="A26" s="14" t="s">
        <v>58</v>
      </c>
      <c r="B26" s="15">
        <v>184600</v>
      </c>
      <c r="C26" s="15">
        <v>516240</v>
      </c>
      <c r="D26" s="15">
        <f t="shared" si="10"/>
        <v>70.09</v>
      </c>
      <c r="E26" s="16">
        <v>15.4</v>
      </c>
      <c r="F26" s="16">
        <v>58.8</v>
      </c>
      <c r="G26" s="15">
        <f t="shared" si="11"/>
        <v>74.2</v>
      </c>
      <c r="H26" s="15">
        <f t="shared" si="12"/>
        <v>3.0600000000000005</v>
      </c>
      <c r="I26" s="15">
        <f t="shared" si="13"/>
        <v>-7.169999999999995</v>
      </c>
      <c r="J26" s="15">
        <f t="shared" si="14"/>
        <v>-4.109999999999999</v>
      </c>
      <c r="K26" s="27"/>
      <c r="L26" s="25">
        <f t="shared" si="15"/>
        <v>4.109999999999999</v>
      </c>
    </row>
    <row r="27" spans="1:12" ht="12" customHeight="1">
      <c r="A27" s="14" t="s">
        <v>60</v>
      </c>
      <c r="B27" s="15">
        <v>127800</v>
      </c>
      <c r="C27" s="15">
        <v>344160</v>
      </c>
      <c r="D27" s="15">
        <f t="shared" si="10"/>
        <v>47.2</v>
      </c>
      <c r="E27" s="16">
        <v>15.9</v>
      </c>
      <c r="F27" s="16">
        <v>46</v>
      </c>
      <c r="G27" s="15">
        <f t="shared" si="11"/>
        <v>61.9</v>
      </c>
      <c r="H27" s="15">
        <f t="shared" si="12"/>
        <v>-3.120000000000001</v>
      </c>
      <c r="I27" s="15">
        <f t="shared" si="13"/>
        <v>-11.579999999999998</v>
      </c>
      <c r="J27" s="15">
        <f t="shared" si="14"/>
        <v>-14.699999999999996</v>
      </c>
      <c r="K27" s="27">
        <v>-108.07</v>
      </c>
      <c r="L27" s="25">
        <f t="shared" si="15"/>
        <v>-93.37</v>
      </c>
    </row>
    <row r="28" spans="1:12" ht="12" customHeight="1">
      <c r="A28" s="14" t="s">
        <v>56</v>
      </c>
      <c r="B28" s="15">
        <v>255600</v>
      </c>
      <c r="C28" s="15">
        <v>619488</v>
      </c>
      <c r="D28" s="15">
        <f t="shared" si="10"/>
        <v>87.51</v>
      </c>
      <c r="E28" s="16">
        <v>66.9</v>
      </c>
      <c r="F28" s="16">
        <v>80.1</v>
      </c>
      <c r="G28" s="15">
        <f t="shared" si="11"/>
        <v>147</v>
      </c>
      <c r="H28" s="15">
        <f t="shared" si="12"/>
        <v>-41.34</v>
      </c>
      <c r="I28" s="15">
        <f t="shared" si="13"/>
        <v>-18.14999999999999</v>
      </c>
      <c r="J28" s="15">
        <f t="shared" si="14"/>
        <v>-59.489999999999995</v>
      </c>
      <c r="K28" s="27"/>
      <c r="L28" s="25">
        <f t="shared" si="15"/>
        <v>59.489999999999995</v>
      </c>
    </row>
    <row r="29" spans="1:12" ht="12" customHeight="1">
      <c r="A29" s="14" t="s">
        <v>57</v>
      </c>
      <c r="B29" s="15">
        <v>134900</v>
      </c>
      <c r="C29" s="15">
        <v>344160</v>
      </c>
      <c r="D29" s="15">
        <f t="shared" si="10"/>
        <v>47.91</v>
      </c>
      <c r="E29" s="16">
        <v>8.9</v>
      </c>
      <c r="F29" s="16">
        <v>42.3</v>
      </c>
      <c r="G29" s="15">
        <f t="shared" si="11"/>
        <v>51.199999999999996</v>
      </c>
      <c r="H29" s="15">
        <f t="shared" si="12"/>
        <v>4.59</v>
      </c>
      <c r="I29" s="15">
        <f t="shared" si="13"/>
        <v>-7.8799999999999955</v>
      </c>
      <c r="J29" s="15">
        <f t="shared" si="14"/>
        <v>-3.289999999999999</v>
      </c>
      <c r="K29" s="27"/>
      <c r="L29" s="25">
        <f t="shared" si="15"/>
        <v>3.289999999999999</v>
      </c>
    </row>
    <row r="30" spans="1:12" ht="12" customHeight="1">
      <c r="A30" s="14" t="s">
        <v>59</v>
      </c>
      <c r="B30" s="15">
        <v>312400</v>
      </c>
      <c r="C30" s="15">
        <v>963648</v>
      </c>
      <c r="D30" s="15">
        <f t="shared" si="10"/>
        <v>127.61</v>
      </c>
      <c r="E30" s="16">
        <v>12.5</v>
      </c>
      <c r="F30" s="16">
        <v>85.8</v>
      </c>
      <c r="G30" s="15">
        <f t="shared" si="11"/>
        <v>98.3</v>
      </c>
      <c r="H30" s="15">
        <f t="shared" si="12"/>
        <v>18.74</v>
      </c>
      <c r="I30" s="15">
        <f t="shared" si="13"/>
        <v>10.570000000000007</v>
      </c>
      <c r="J30" s="15">
        <f t="shared" si="14"/>
        <v>29.310000000000002</v>
      </c>
      <c r="K30" s="27"/>
      <c r="L30" s="25">
        <f t="shared" si="15"/>
        <v>-29.310000000000002</v>
      </c>
    </row>
    <row r="31" spans="1:12" ht="12" customHeight="1">
      <c r="A31" s="14" t="s">
        <v>61</v>
      </c>
      <c r="B31" s="15">
        <v>177500</v>
      </c>
      <c r="C31" s="15">
        <v>447408</v>
      </c>
      <c r="D31" s="15">
        <f t="shared" si="10"/>
        <v>62.5</v>
      </c>
      <c r="E31" s="16">
        <v>10.7</v>
      </c>
      <c r="F31" s="16">
        <v>46.4</v>
      </c>
      <c r="G31" s="15">
        <f t="shared" si="11"/>
        <v>57.099999999999994</v>
      </c>
      <c r="H31" s="15">
        <f t="shared" si="12"/>
        <v>7.050000000000001</v>
      </c>
      <c r="I31" s="15">
        <f t="shared" si="13"/>
        <v>-1.6499999999999986</v>
      </c>
      <c r="J31" s="15">
        <f t="shared" si="14"/>
        <v>5.400000000000006</v>
      </c>
      <c r="K31" s="27"/>
      <c r="L31" s="25">
        <f t="shared" si="15"/>
        <v>-5.400000000000006</v>
      </c>
    </row>
    <row r="32" spans="1:12" ht="12" customHeight="1">
      <c r="A32" s="9" t="s">
        <v>62</v>
      </c>
      <c r="B32" s="12">
        <f aca="true" t="shared" si="16" ref="B32:L32">SUM(B33:B41)</f>
        <v>2804500</v>
      </c>
      <c r="C32" s="12">
        <f t="shared" si="16"/>
        <v>10290384</v>
      </c>
      <c r="D32" s="12">
        <f t="shared" si="16"/>
        <v>1309.5100000000002</v>
      </c>
      <c r="E32" s="12">
        <f t="shared" si="16"/>
        <v>58.2</v>
      </c>
      <c r="F32" s="12">
        <f t="shared" si="16"/>
        <v>654.9</v>
      </c>
      <c r="G32" s="12">
        <f t="shared" si="16"/>
        <v>713.1</v>
      </c>
      <c r="H32" s="12">
        <f t="shared" si="16"/>
        <v>222.25</v>
      </c>
      <c r="I32" s="12">
        <f t="shared" si="16"/>
        <v>374.1600000000001</v>
      </c>
      <c r="J32" s="12">
        <f t="shared" si="16"/>
        <v>596.41</v>
      </c>
      <c r="K32" s="12">
        <f t="shared" si="16"/>
        <v>-1120.3</v>
      </c>
      <c r="L32" s="12">
        <f t="shared" si="16"/>
        <v>-1716.71</v>
      </c>
    </row>
    <row r="33" spans="1:14" ht="12" customHeight="1">
      <c r="A33" s="14" t="s">
        <v>63</v>
      </c>
      <c r="B33" s="15"/>
      <c r="C33" s="15"/>
      <c r="D33" s="15">
        <f aca="true" t="shared" si="17" ref="D33:D41">ROUNDUP((B33+C33)/10000,2)</f>
        <v>0</v>
      </c>
      <c r="E33" s="16"/>
      <c r="F33" s="16"/>
      <c r="G33" s="15">
        <f aca="true" t="shared" si="18" ref="G33:G41">E33+F33</f>
        <v>0</v>
      </c>
      <c r="H33" s="15">
        <f aca="true" t="shared" si="19" ref="H33:H41">ROUNDUP(B33/10000,2)-E33</f>
        <v>0</v>
      </c>
      <c r="I33" s="15">
        <f aca="true" t="shared" si="20" ref="I33:I41">ROUNDUP(C33/10000,2)-F33</f>
        <v>0</v>
      </c>
      <c r="J33" s="15">
        <f aca="true" t="shared" si="21" ref="J33:J41">D33-G33</f>
        <v>0</v>
      </c>
      <c r="K33" s="27">
        <v>-74.09</v>
      </c>
      <c r="L33" s="25">
        <f aca="true" t="shared" si="22" ref="L33:L41">K33-J33</f>
        <v>-74.09</v>
      </c>
      <c r="M33" s="3"/>
      <c r="N33" s="5"/>
    </row>
    <row r="34" spans="1:14" ht="12" customHeight="1">
      <c r="A34" s="14" t="s">
        <v>388</v>
      </c>
      <c r="B34" s="15"/>
      <c r="C34" s="15"/>
      <c r="D34" s="15">
        <f t="shared" si="17"/>
        <v>0</v>
      </c>
      <c r="E34" s="16"/>
      <c r="F34" s="16"/>
      <c r="G34" s="15">
        <f t="shared" si="18"/>
        <v>0</v>
      </c>
      <c r="H34" s="15">
        <f t="shared" si="19"/>
        <v>0</v>
      </c>
      <c r="I34" s="15">
        <f t="shared" si="20"/>
        <v>0</v>
      </c>
      <c r="J34" s="15">
        <f t="shared" si="21"/>
        <v>0</v>
      </c>
      <c r="K34" s="27"/>
      <c r="L34" s="25">
        <f t="shared" si="22"/>
        <v>0</v>
      </c>
      <c r="M34" s="3"/>
      <c r="N34" s="5"/>
    </row>
    <row r="35" spans="1:14" ht="12" customHeight="1">
      <c r="A35" s="14" t="s">
        <v>389</v>
      </c>
      <c r="B35" s="15">
        <v>78100</v>
      </c>
      <c r="C35" s="15">
        <v>68832</v>
      </c>
      <c r="D35" s="15">
        <f t="shared" si="17"/>
        <v>14.7</v>
      </c>
      <c r="E35" s="16">
        <v>0</v>
      </c>
      <c r="F35" s="16">
        <v>4.9</v>
      </c>
      <c r="G35" s="15">
        <f t="shared" si="18"/>
        <v>4.9</v>
      </c>
      <c r="H35" s="15">
        <f t="shared" si="19"/>
        <v>7.81</v>
      </c>
      <c r="I35" s="15">
        <f t="shared" si="20"/>
        <v>1.9899999999999993</v>
      </c>
      <c r="J35" s="15">
        <f t="shared" si="21"/>
        <v>9.799999999999999</v>
      </c>
      <c r="K35" s="27"/>
      <c r="L35" s="25">
        <f t="shared" si="22"/>
        <v>-9.799999999999999</v>
      </c>
      <c r="M35" s="3"/>
      <c r="N35" s="5"/>
    </row>
    <row r="36" spans="1:14" ht="12" customHeight="1">
      <c r="A36" s="14" t="s">
        <v>64</v>
      </c>
      <c r="B36" s="15">
        <v>433100</v>
      </c>
      <c r="C36" s="15">
        <v>3441600</v>
      </c>
      <c r="D36" s="15">
        <f t="shared" si="17"/>
        <v>387.47</v>
      </c>
      <c r="E36" s="16">
        <v>11.6</v>
      </c>
      <c r="F36" s="16">
        <v>154.4</v>
      </c>
      <c r="G36" s="15">
        <f t="shared" si="18"/>
        <v>166</v>
      </c>
      <c r="H36" s="15">
        <f t="shared" si="19"/>
        <v>31.71</v>
      </c>
      <c r="I36" s="15">
        <f t="shared" si="20"/>
        <v>189.76000000000002</v>
      </c>
      <c r="J36" s="15">
        <f t="shared" si="21"/>
        <v>221.47000000000003</v>
      </c>
      <c r="K36" s="27"/>
      <c r="L36" s="25">
        <f t="shared" si="22"/>
        <v>-221.47000000000003</v>
      </c>
      <c r="M36" s="3"/>
      <c r="N36" s="5"/>
    </row>
    <row r="37" spans="1:12" ht="12" customHeight="1">
      <c r="A37" s="14" t="s">
        <v>66</v>
      </c>
      <c r="B37" s="15">
        <v>475700</v>
      </c>
      <c r="C37" s="15">
        <v>963648</v>
      </c>
      <c r="D37" s="15">
        <f t="shared" si="17"/>
        <v>143.94</v>
      </c>
      <c r="E37" s="16">
        <v>16.7</v>
      </c>
      <c r="F37" s="16">
        <v>92.8</v>
      </c>
      <c r="G37" s="15">
        <f t="shared" si="18"/>
        <v>109.5</v>
      </c>
      <c r="H37" s="15">
        <f t="shared" si="19"/>
        <v>30.87</v>
      </c>
      <c r="I37" s="15">
        <f t="shared" si="20"/>
        <v>3.5700000000000074</v>
      </c>
      <c r="J37" s="15">
        <f t="shared" si="21"/>
        <v>34.44</v>
      </c>
      <c r="K37" s="27">
        <v>-179.74</v>
      </c>
      <c r="L37" s="25">
        <f t="shared" si="22"/>
        <v>-214.18</v>
      </c>
    </row>
    <row r="38" spans="1:12" ht="12" customHeight="1">
      <c r="A38" s="14" t="s">
        <v>65</v>
      </c>
      <c r="B38" s="15">
        <v>333700</v>
      </c>
      <c r="C38" s="15">
        <v>585072</v>
      </c>
      <c r="D38" s="15">
        <f t="shared" si="17"/>
        <v>91.88</v>
      </c>
      <c r="E38" s="16">
        <v>2.1</v>
      </c>
      <c r="F38" s="16">
        <v>60.2</v>
      </c>
      <c r="G38" s="15">
        <f t="shared" si="18"/>
        <v>62.300000000000004</v>
      </c>
      <c r="H38" s="15">
        <f t="shared" si="19"/>
        <v>31.269999999999996</v>
      </c>
      <c r="I38" s="15">
        <f t="shared" si="20"/>
        <v>-1.6900000000000048</v>
      </c>
      <c r="J38" s="15">
        <f t="shared" si="21"/>
        <v>29.57999999999999</v>
      </c>
      <c r="K38" s="27">
        <v>-377.37</v>
      </c>
      <c r="L38" s="25">
        <f t="shared" si="22"/>
        <v>-406.95</v>
      </c>
    </row>
    <row r="39" spans="1:12" ht="12" customHeight="1">
      <c r="A39" s="14" t="s">
        <v>67</v>
      </c>
      <c r="B39" s="15">
        <v>702900</v>
      </c>
      <c r="C39" s="15">
        <v>2581200</v>
      </c>
      <c r="D39" s="15">
        <f t="shared" si="17"/>
        <v>328.41</v>
      </c>
      <c r="E39" s="16">
        <v>17</v>
      </c>
      <c r="F39" s="16">
        <v>148.5</v>
      </c>
      <c r="G39" s="15">
        <f t="shared" si="18"/>
        <v>165.5</v>
      </c>
      <c r="H39" s="15">
        <f t="shared" si="19"/>
        <v>53.290000000000006</v>
      </c>
      <c r="I39" s="15">
        <f t="shared" si="20"/>
        <v>109.62</v>
      </c>
      <c r="J39" s="15">
        <f t="shared" si="21"/>
        <v>162.91000000000003</v>
      </c>
      <c r="K39" s="27">
        <v>-176.71</v>
      </c>
      <c r="L39" s="25">
        <f t="shared" si="22"/>
        <v>-339.62</v>
      </c>
    </row>
    <row r="40" spans="1:12" ht="12" customHeight="1">
      <c r="A40" s="14" t="s">
        <v>68</v>
      </c>
      <c r="B40" s="15">
        <v>454400</v>
      </c>
      <c r="C40" s="15">
        <v>2064960</v>
      </c>
      <c r="D40" s="15">
        <f t="shared" si="17"/>
        <v>251.94</v>
      </c>
      <c r="E40" s="16">
        <v>7.2</v>
      </c>
      <c r="F40" s="16">
        <v>126.7</v>
      </c>
      <c r="G40" s="15">
        <f t="shared" si="18"/>
        <v>133.9</v>
      </c>
      <c r="H40" s="15">
        <f t="shared" si="19"/>
        <v>38.239999999999995</v>
      </c>
      <c r="I40" s="15">
        <f t="shared" si="20"/>
        <v>79.8</v>
      </c>
      <c r="J40" s="15">
        <f t="shared" si="21"/>
        <v>118.03999999999999</v>
      </c>
      <c r="K40" s="27">
        <v>-138.91</v>
      </c>
      <c r="L40" s="25">
        <f t="shared" si="22"/>
        <v>-256.95</v>
      </c>
    </row>
    <row r="41" spans="1:12" ht="12" customHeight="1">
      <c r="A41" s="14" t="s">
        <v>69</v>
      </c>
      <c r="B41" s="15">
        <v>326600</v>
      </c>
      <c r="C41" s="15">
        <v>585072</v>
      </c>
      <c r="D41" s="15">
        <f t="shared" si="17"/>
        <v>91.17</v>
      </c>
      <c r="E41" s="16">
        <v>3.6</v>
      </c>
      <c r="F41" s="16">
        <v>67.4</v>
      </c>
      <c r="G41" s="15">
        <f t="shared" si="18"/>
        <v>71</v>
      </c>
      <c r="H41" s="15">
        <f t="shared" si="19"/>
        <v>29.059999999999995</v>
      </c>
      <c r="I41" s="15">
        <f t="shared" si="20"/>
        <v>-8.890000000000008</v>
      </c>
      <c r="J41" s="15">
        <f t="shared" si="21"/>
        <v>20.17</v>
      </c>
      <c r="K41" s="27">
        <v>-173.48</v>
      </c>
      <c r="L41" s="25">
        <f t="shared" si="22"/>
        <v>-193.64999999999998</v>
      </c>
    </row>
    <row r="42" spans="1:12" ht="12" customHeight="1">
      <c r="A42" s="9" t="s">
        <v>70</v>
      </c>
      <c r="B42" s="12">
        <f aca="true" t="shared" si="23" ref="B42:L42">SUM(B43:B52)</f>
        <v>3947600</v>
      </c>
      <c r="C42" s="12">
        <f t="shared" si="23"/>
        <v>14282640</v>
      </c>
      <c r="D42" s="12">
        <f t="shared" si="23"/>
        <v>1823.06</v>
      </c>
      <c r="E42" s="12">
        <f t="shared" si="23"/>
        <v>214.60000000000002</v>
      </c>
      <c r="F42" s="12">
        <f t="shared" si="23"/>
        <v>915.6999999999999</v>
      </c>
      <c r="G42" s="12">
        <f t="shared" si="23"/>
        <v>1130.3000000000002</v>
      </c>
      <c r="H42" s="12">
        <f t="shared" si="23"/>
        <v>180.16000000000003</v>
      </c>
      <c r="I42" s="12">
        <f t="shared" si="23"/>
        <v>512.5999999999998</v>
      </c>
      <c r="J42" s="12">
        <f t="shared" si="23"/>
        <v>692.76</v>
      </c>
      <c r="K42" s="12">
        <f t="shared" si="23"/>
        <v>-179.61999999999998</v>
      </c>
      <c r="L42" s="12">
        <f t="shared" si="23"/>
        <v>-872.3799999999999</v>
      </c>
    </row>
    <row r="43" spans="1:12" ht="12" customHeight="1">
      <c r="A43" s="14" t="s">
        <v>71</v>
      </c>
      <c r="B43" s="15">
        <v>0</v>
      </c>
      <c r="C43" s="15">
        <v>0</v>
      </c>
      <c r="D43" s="15">
        <f aca="true" t="shared" si="24" ref="D43:D52">ROUNDUP((B43+C43)/10000,2)</f>
        <v>0</v>
      </c>
      <c r="E43" s="16">
        <v>0</v>
      </c>
      <c r="F43" s="16">
        <v>0</v>
      </c>
      <c r="G43" s="15">
        <f aca="true" t="shared" si="25" ref="G43:G52">E43+F43</f>
        <v>0</v>
      </c>
      <c r="H43" s="15">
        <f aca="true" t="shared" si="26" ref="H43:H52">ROUNDUP(B43/10000,2)-E43</f>
        <v>0</v>
      </c>
      <c r="I43" s="15">
        <f aca="true" t="shared" si="27" ref="I43:I52">ROUNDUP(C43/10000,2)-F43</f>
        <v>0</v>
      </c>
      <c r="J43" s="15">
        <f aca="true" t="shared" si="28" ref="J43:J52">D43-G43</f>
        <v>0</v>
      </c>
      <c r="K43" s="27">
        <v>-69.58</v>
      </c>
      <c r="L43" s="25">
        <f aca="true" t="shared" si="29" ref="L43:L52">K43-J43</f>
        <v>-69.58</v>
      </c>
    </row>
    <row r="44" spans="1:12" ht="12" customHeight="1">
      <c r="A44" s="14" t="s">
        <v>390</v>
      </c>
      <c r="B44" s="15"/>
      <c r="C44" s="15"/>
      <c r="D44" s="15">
        <f t="shared" si="24"/>
        <v>0</v>
      </c>
      <c r="E44" s="16">
        <v>0</v>
      </c>
      <c r="F44" s="16">
        <v>0</v>
      </c>
      <c r="G44" s="15">
        <f t="shared" si="25"/>
        <v>0</v>
      </c>
      <c r="H44" s="15">
        <f t="shared" si="26"/>
        <v>0</v>
      </c>
      <c r="I44" s="15">
        <f t="shared" si="27"/>
        <v>0</v>
      </c>
      <c r="J44" s="15">
        <f t="shared" si="28"/>
        <v>0</v>
      </c>
      <c r="K44" s="27"/>
      <c r="L44" s="25">
        <f t="shared" si="29"/>
        <v>0</v>
      </c>
    </row>
    <row r="45" spans="1:14" ht="12" customHeight="1">
      <c r="A45" s="14" t="s">
        <v>72</v>
      </c>
      <c r="B45" s="15">
        <v>312400</v>
      </c>
      <c r="C45" s="15">
        <v>2753280</v>
      </c>
      <c r="D45" s="15">
        <f t="shared" si="24"/>
        <v>306.57</v>
      </c>
      <c r="E45" s="16">
        <v>14.4</v>
      </c>
      <c r="F45" s="16">
        <v>81.3</v>
      </c>
      <c r="G45" s="15">
        <f t="shared" si="25"/>
        <v>95.7</v>
      </c>
      <c r="H45" s="15">
        <f t="shared" si="26"/>
        <v>16.839999999999996</v>
      </c>
      <c r="I45" s="15">
        <f t="shared" si="27"/>
        <v>194.02999999999997</v>
      </c>
      <c r="J45" s="15">
        <f t="shared" si="28"/>
        <v>210.87</v>
      </c>
      <c r="K45" s="27"/>
      <c r="L45" s="25">
        <f t="shared" si="29"/>
        <v>-210.87</v>
      </c>
      <c r="M45" s="3"/>
      <c r="N45" s="5"/>
    </row>
    <row r="46" spans="1:14" ht="12" customHeight="1">
      <c r="A46" s="14" t="s">
        <v>74</v>
      </c>
      <c r="B46" s="15">
        <v>482800</v>
      </c>
      <c r="C46" s="15">
        <v>1927296</v>
      </c>
      <c r="D46" s="15">
        <f t="shared" si="24"/>
        <v>241.01</v>
      </c>
      <c r="E46" s="16">
        <v>33.7</v>
      </c>
      <c r="F46" s="16">
        <v>179.8</v>
      </c>
      <c r="G46" s="15">
        <f t="shared" si="25"/>
        <v>213.5</v>
      </c>
      <c r="H46" s="15">
        <f t="shared" si="26"/>
        <v>14.579999999999998</v>
      </c>
      <c r="I46" s="15">
        <f t="shared" si="27"/>
        <v>12.929999999999978</v>
      </c>
      <c r="J46" s="15">
        <f t="shared" si="28"/>
        <v>27.50999999999999</v>
      </c>
      <c r="K46" s="27"/>
      <c r="L46" s="25">
        <f t="shared" si="29"/>
        <v>-27.50999999999999</v>
      </c>
      <c r="M46" s="3"/>
      <c r="N46" s="5"/>
    </row>
    <row r="47" spans="1:14" ht="12" customHeight="1">
      <c r="A47" s="14" t="s">
        <v>75</v>
      </c>
      <c r="B47" s="15">
        <v>177500</v>
      </c>
      <c r="C47" s="15">
        <v>894816</v>
      </c>
      <c r="D47" s="15">
        <f t="shared" si="24"/>
        <v>107.24</v>
      </c>
      <c r="E47" s="16">
        <v>10.6</v>
      </c>
      <c r="F47" s="16">
        <v>46.5</v>
      </c>
      <c r="G47" s="15">
        <f t="shared" si="25"/>
        <v>57.1</v>
      </c>
      <c r="H47" s="15">
        <f t="shared" si="26"/>
        <v>7.15</v>
      </c>
      <c r="I47" s="15">
        <f t="shared" si="27"/>
        <v>42.989999999999995</v>
      </c>
      <c r="J47" s="15">
        <f t="shared" si="28"/>
        <v>50.13999999999999</v>
      </c>
      <c r="K47" s="27"/>
      <c r="L47" s="25">
        <f t="shared" si="29"/>
        <v>-50.13999999999999</v>
      </c>
      <c r="M47" s="3"/>
      <c r="N47" s="5"/>
    </row>
    <row r="48" spans="1:14" ht="12" customHeight="1">
      <c r="A48" s="14" t="s">
        <v>76</v>
      </c>
      <c r="B48" s="15">
        <v>191700</v>
      </c>
      <c r="C48" s="15">
        <v>757152</v>
      </c>
      <c r="D48" s="15">
        <f t="shared" si="24"/>
        <v>94.89</v>
      </c>
      <c r="E48" s="16">
        <v>8.4</v>
      </c>
      <c r="F48" s="16">
        <v>46.4</v>
      </c>
      <c r="G48" s="15">
        <f t="shared" si="25"/>
        <v>54.8</v>
      </c>
      <c r="H48" s="15">
        <f t="shared" si="26"/>
        <v>10.770000000000001</v>
      </c>
      <c r="I48" s="15">
        <f t="shared" si="27"/>
        <v>29.32</v>
      </c>
      <c r="J48" s="15">
        <f t="shared" si="28"/>
        <v>40.09</v>
      </c>
      <c r="K48" s="27"/>
      <c r="L48" s="25">
        <f t="shared" si="29"/>
        <v>-40.09</v>
      </c>
      <c r="M48" s="3"/>
      <c r="N48" s="5"/>
    </row>
    <row r="49" spans="1:12" ht="12" customHeight="1">
      <c r="A49" s="14" t="s">
        <v>73</v>
      </c>
      <c r="B49" s="15">
        <v>901700</v>
      </c>
      <c r="C49" s="15">
        <v>2753280</v>
      </c>
      <c r="D49" s="15">
        <f t="shared" si="24"/>
        <v>365.5</v>
      </c>
      <c r="E49" s="16">
        <v>49.3</v>
      </c>
      <c r="F49" s="16">
        <v>173.5</v>
      </c>
      <c r="G49" s="15">
        <f t="shared" si="25"/>
        <v>222.8</v>
      </c>
      <c r="H49" s="15">
        <f t="shared" si="26"/>
        <v>40.870000000000005</v>
      </c>
      <c r="I49" s="15">
        <f t="shared" si="27"/>
        <v>101.82999999999998</v>
      </c>
      <c r="J49" s="15">
        <f t="shared" si="28"/>
        <v>142.7</v>
      </c>
      <c r="K49" s="27">
        <v>-108.25</v>
      </c>
      <c r="L49" s="25">
        <f t="shared" si="29"/>
        <v>-250.95</v>
      </c>
    </row>
    <row r="50" spans="1:12" ht="12" customHeight="1">
      <c r="A50" s="14" t="s">
        <v>77</v>
      </c>
      <c r="B50" s="15">
        <v>298200</v>
      </c>
      <c r="C50" s="15">
        <v>1135728</v>
      </c>
      <c r="D50" s="15">
        <f t="shared" si="24"/>
        <v>143.4</v>
      </c>
      <c r="E50" s="16">
        <v>12.2</v>
      </c>
      <c r="F50" s="16">
        <v>64.3</v>
      </c>
      <c r="G50" s="15">
        <f t="shared" si="25"/>
        <v>76.5</v>
      </c>
      <c r="H50" s="15">
        <f t="shared" si="26"/>
        <v>17.62</v>
      </c>
      <c r="I50" s="15">
        <f t="shared" si="27"/>
        <v>49.28</v>
      </c>
      <c r="J50" s="15">
        <f t="shared" si="28"/>
        <v>66.9</v>
      </c>
      <c r="K50" s="27"/>
      <c r="L50" s="25">
        <f t="shared" si="29"/>
        <v>-66.9</v>
      </c>
    </row>
    <row r="51" spans="1:12" ht="12" customHeight="1">
      <c r="A51" s="14" t="s">
        <v>78</v>
      </c>
      <c r="B51" s="15">
        <v>418900</v>
      </c>
      <c r="C51" s="15">
        <v>1651968</v>
      </c>
      <c r="D51" s="15">
        <f t="shared" si="24"/>
        <v>207.09</v>
      </c>
      <c r="E51" s="16">
        <v>23.8</v>
      </c>
      <c r="F51" s="16">
        <v>103.4</v>
      </c>
      <c r="G51" s="15">
        <f t="shared" si="25"/>
        <v>127.2</v>
      </c>
      <c r="H51" s="15">
        <f t="shared" si="26"/>
        <v>18.09</v>
      </c>
      <c r="I51" s="15">
        <f t="shared" si="27"/>
        <v>61.79999999999998</v>
      </c>
      <c r="J51" s="15">
        <f t="shared" si="28"/>
        <v>79.89</v>
      </c>
      <c r="K51" s="27"/>
      <c r="L51" s="25">
        <f t="shared" si="29"/>
        <v>-79.89</v>
      </c>
    </row>
    <row r="52" spans="1:12" ht="12" customHeight="1">
      <c r="A52" s="14" t="s">
        <v>79</v>
      </c>
      <c r="B52" s="15">
        <v>1164400</v>
      </c>
      <c r="C52" s="15">
        <v>2409120</v>
      </c>
      <c r="D52" s="15">
        <f t="shared" si="24"/>
        <v>357.36</v>
      </c>
      <c r="E52" s="16">
        <v>62.2</v>
      </c>
      <c r="F52" s="16">
        <v>220.5</v>
      </c>
      <c r="G52" s="15">
        <f t="shared" si="25"/>
        <v>282.7</v>
      </c>
      <c r="H52" s="15">
        <f t="shared" si="26"/>
        <v>54.239999999999995</v>
      </c>
      <c r="I52" s="15">
        <f t="shared" si="27"/>
        <v>20.419999999999987</v>
      </c>
      <c r="J52" s="15">
        <f t="shared" si="28"/>
        <v>74.66000000000003</v>
      </c>
      <c r="K52" s="27">
        <v>-1.79</v>
      </c>
      <c r="L52" s="25">
        <f t="shared" si="29"/>
        <v>-76.45000000000003</v>
      </c>
    </row>
    <row r="53" spans="1:12" ht="12" customHeight="1">
      <c r="A53" s="9" t="s">
        <v>80</v>
      </c>
      <c r="B53" s="12">
        <f aca="true" t="shared" si="30" ref="B53:L53">SUM(B54:B62)</f>
        <v>4011500</v>
      </c>
      <c r="C53" s="12">
        <f t="shared" si="30"/>
        <v>12424176</v>
      </c>
      <c r="D53" s="12">
        <f t="shared" si="30"/>
        <v>1643.6</v>
      </c>
      <c r="E53" s="12">
        <f t="shared" si="30"/>
        <v>523</v>
      </c>
      <c r="F53" s="12">
        <f t="shared" si="30"/>
        <v>1373.8000000000002</v>
      </c>
      <c r="G53" s="12">
        <f t="shared" si="30"/>
        <v>1896.7999999999997</v>
      </c>
      <c r="H53" s="12">
        <f t="shared" si="30"/>
        <v>-121.85</v>
      </c>
      <c r="I53" s="12">
        <f t="shared" si="30"/>
        <v>-131.35000000000002</v>
      </c>
      <c r="J53" s="12">
        <f t="shared" si="30"/>
        <v>-253.20000000000005</v>
      </c>
      <c r="K53" s="12">
        <f t="shared" si="30"/>
        <v>0</v>
      </c>
      <c r="L53" s="12">
        <f t="shared" si="30"/>
        <v>253.20000000000005</v>
      </c>
    </row>
    <row r="54" spans="1:12" ht="12" customHeight="1">
      <c r="A54" s="14" t="s">
        <v>81</v>
      </c>
      <c r="B54" s="15"/>
      <c r="C54" s="15"/>
      <c r="D54" s="15"/>
      <c r="E54" s="16"/>
      <c r="F54" s="16"/>
      <c r="G54" s="15">
        <f aca="true" t="shared" si="31" ref="G54:G62">E54+F54</f>
        <v>0</v>
      </c>
      <c r="H54" s="15">
        <f aca="true" t="shared" si="32" ref="H54:H62">ROUNDUP(B54/10000,2)-E54</f>
        <v>0</v>
      </c>
      <c r="I54" s="15">
        <f aca="true" t="shared" si="33" ref="I54:I62">ROUNDUP(C54/10000,2)-F54</f>
        <v>0</v>
      </c>
      <c r="J54" s="15">
        <f aca="true" t="shared" si="34" ref="J54:J62">D54-G54</f>
        <v>0</v>
      </c>
      <c r="K54" s="27"/>
      <c r="L54" s="25">
        <f aca="true" t="shared" si="35" ref="L54:L62">K54-J54</f>
        <v>0</v>
      </c>
    </row>
    <row r="55" spans="1:12" ht="12" customHeight="1">
      <c r="A55" s="14" t="s">
        <v>391</v>
      </c>
      <c r="B55" s="15"/>
      <c r="C55" s="15"/>
      <c r="D55" s="15">
        <f aca="true" t="shared" si="36" ref="D55:D62">ROUNDUP((B55+C55)/10000,2)</f>
        <v>0</v>
      </c>
      <c r="E55" s="16"/>
      <c r="F55" s="16"/>
      <c r="G55" s="15">
        <f t="shared" si="31"/>
        <v>0</v>
      </c>
      <c r="H55" s="15">
        <f t="shared" si="32"/>
        <v>0</v>
      </c>
      <c r="I55" s="15">
        <f t="shared" si="33"/>
        <v>0</v>
      </c>
      <c r="J55" s="15">
        <f t="shared" si="34"/>
        <v>0</v>
      </c>
      <c r="K55" s="27"/>
      <c r="L55" s="25">
        <f t="shared" si="35"/>
        <v>0</v>
      </c>
    </row>
    <row r="56" spans="1:14" ht="12" customHeight="1">
      <c r="A56" s="14" t="s">
        <v>392</v>
      </c>
      <c r="B56" s="15">
        <v>35500</v>
      </c>
      <c r="C56" s="15">
        <v>206496</v>
      </c>
      <c r="D56" s="15">
        <f t="shared" si="36"/>
        <v>24.2</v>
      </c>
      <c r="E56" s="17">
        <v>0</v>
      </c>
      <c r="F56" s="17">
        <v>0</v>
      </c>
      <c r="G56" s="18">
        <f t="shared" si="31"/>
        <v>0</v>
      </c>
      <c r="H56" s="15">
        <f t="shared" si="32"/>
        <v>3.55</v>
      </c>
      <c r="I56" s="15">
        <f t="shared" si="33"/>
        <v>20.65</v>
      </c>
      <c r="J56" s="18">
        <f t="shared" si="34"/>
        <v>24.2</v>
      </c>
      <c r="K56" s="27"/>
      <c r="L56" s="25">
        <f t="shared" si="35"/>
        <v>-24.2</v>
      </c>
      <c r="M56" s="3"/>
      <c r="N56" s="5"/>
    </row>
    <row r="57" spans="1:14" ht="12" customHeight="1">
      <c r="A57" s="14" t="s">
        <v>393</v>
      </c>
      <c r="B57" s="15">
        <v>149100</v>
      </c>
      <c r="C57" s="15">
        <v>757152</v>
      </c>
      <c r="D57" s="15">
        <f t="shared" si="36"/>
        <v>90.63</v>
      </c>
      <c r="E57" s="17">
        <v>0</v>
      </c>
      <c r="F57" s="17">
        <v>0</v>
      </c>
      <c r="G57" s="18">
        <f t="shared" si="31"/>
        <v>0</v>
      </c>
      <c r="H57" s="15">
        <f t="shared" si="32"/>
        <v>14.91</v>
      </c>
      <c r="I57" s="15">
        <f t="shared" si="33"/>
        <v>75.72</v>
      </c>
      <c r="J57" s="18">
        <f t="shared" si="34"/>
        <v>90.63</v>
      </c>
      <c r="K57" s="27"/>
      <c r="L57" s="25">
        <f t="shared" si="35"/>
        <v>-90.63</v>
      </c>
      <c r="M57" s="3"/>
      <c r="N57" s="5"/>
    </row>
    <row r="58" spans="1:14" ht="12" customHeight="1">
      <c r="A58" s="14" t="s">
        <v>82</v>
      </c>
      <c r="B58" s="15">
        <v>1583300</v>
      </c>
      <c r="C58" s="15">
        <v>4749408</v>
      </c>
      <c r="D58" s="15">
        <f t="shared" si="36"/>
        <v>633.28</v>
      </c>
      <c r="E58" s="16">
        <v>186.4</v>
      </c>
      <c r="F58" s="16">
        <v>511.9</v>
      </c>
      <c r="G58" s="15">
        <f t="shared" si="31"/>
        <v>698.3</v>
      </c>
      <c r="H58" s="15">
        <f t="shared" si="32"/>
        <v>-28.069999999999993</v>
      </c>
      <c r="I58" s="15">
        <f t="shared" si="33"/>
        <v>-36.94999999999999</v>
      </c>
      <c r="J58" s="15">
        <f t="shared" si="34"/>
        <v>-65.01999999999998</v>
      </c>
      <c r="K58" s="27"/>
      <c r="L58" s="25">
        <f t="shared" si="35"/>
        <v>65.01999999999998</v>
      </c>
      <c r="M58" s="3"/>
      <c r="N58" s="5"/>
    </row>
    <row r="59" spans="1:14" ht="12" customHeight="1">
      <c r="A59" s="14" t="s">
        <v>83</v>
      </c>
      <c r="B59" s="15">
        <v>624800</v>
      </c>
      <c r="C59" s="15">
        <v>2133792</v>
      </c>
      <c r="D59" s="15">
        <f t="shared" si="36"/>
        <v>275.86</v>
      </c>
      <c r="E59" s="16">
        <v>74</v>
      </c>
      <c r="F59" s="16">
        <v>178.8</v>
      </c>
      <c r="G59" s="15">
        <f t="shared" si="31"/>
        <v>252.8</v>
      </c>
      <c r="H59" s="15">
        <f t="shared" si="32"/>
        <v>-11.520000000000003</v>
      </c>
      <c r="I59" s="15">
        <f t="shared" si="33"/>
        <v>34.579999999999984</v>
      </c>
      <c r="J59" s="15">
        <f t="shared" si="34"/>
        <v>23.060000000000002</v>
      </c>
      <c r="K59" s="27"/>
      <c r="L59" s="25">
        <f t="shared" si="35"/>
        <v>-23.060000000000002</v>
      </c>
      <c r="M59" s="3"/>
      <c r="N59" s="5"/>
    </row>
    <row r="60" spans="1:12" ht="12" customHeight="1">
      <c r="A60" s="14" t="s">
        <v>84</v>
      </c>
      <c r="B60" s="15">
        <v>788100</v>
      </c>
      <c r="C60" s="15">
        <v>2202624</v>
      </c>
      <c r="D60" s="15">
        <f t="shared" si="36"/>
        <v>299.08</v>
      </c>
      <c r="E60" s="16">
        <v>85.5</v>
      </c>
      <c r="F60" s="16">
        <v>353.3</v>
      </c>
      <c r="G60" s="15">
        <f t="shared" si="31"/>
        <v>438.8</v>
      </c>
      <c r="H60" s="15">
        <f t="shared" si="32"/>
        <v>-6.689999999999998</v>
      </c>
      <c r="I60" s="15">
        <f t="shared" si="33"/>
        <v>-133.03</v>
      </c>
      <c r="J60" s="15">
        <f t="shared" si="34"/>
        <v>-139.72000000000003</v>
      </c>
      <c r="K60" s="27"/>
      <c r="L60" s="25">
        <f t="shared" si="35"/>
        <v>139.72000000000003</v>
      </c>
    </row>
    <row r="61" spans="1:12" ht="12" customHeight="1">
      <c r="A61" s="14" t="s">
        <v>86</v>
      </c>
      <c r="B61" s="15">
        <v>170400</v>
      </c>
      <c r="C61" s="15">
        <v>447408</v>
      </c>
      <c r="D61" s="15">
        <f t="shared" si="36"/>
        <v>61.79</v>
      </c>
      <c r="E61" s="16">
        <v>95.6</v>
      </c>
      <c r="F61" s="16">
        <v>56.7</v>
      </c>
      <c r="G61" s="15">
        <f t="shared" si="31"/>
        <v>152.3</v>
      </c>
      <c r="H61" s="15">
        <f t="shared" si="32"/>
        <v>-78.56</v>
      </c>
      <c r="I61" s="15">
        <f t="shared" si="33"/>
        <v>-11.950000000000003</v>
      </c>
      <c r="J61" s="15">
        <f t="shared" si="34"/>
        <v>-90.51000000000002</v>
      </c>
      <c r="K61" s="27"/>
      <c r="L61" s="25">
        <f t="shared" si="35"/>
        <v>90.51000000000002</v>
      </c>
    </row>
    <row r="62" spans="1:12" ht="12" customHeight="1">
      <c r="A62" s="14" t="s">
        <v>85</v>
      </c>
      <c r="B62" s="15">
        <v>660300</v>
      </c>
      <c r="C62" s="15">
        <v>1927296</v>
      </c>
      <c r="D62" s="15">
        <f t="shared" si="36"/>
        <v>258.76</v>
      </c>
      <c r="E62" s="16">
        <v>81.5</v>
      </c>
      <c r="F62" s="16">
        <v>273.1</v>
      </c>
      <c r="G62" s="15">
        <f t="shared" si="31"/>
        <v>354.6</v>
      </c>
      <c r="H62" s="15">
        <f t="shared" si="32"/>
        <v>-15.469999999999999</v>
      </c>
      <c r="I62" s="15">
        <f t="shared" si="33"/>
        <v>-80.37000000000003</v>
      </c>
      <c r="J62" s="15">
        <f t="shared" si="34"/>
        <v>-95.84000000000003</v>
      </c>
      <c r="K62" s="27"/>
      <c r="L62" s="25">
        <f t="shared" si="35"/>
        <v>95.84000000000003</v>
      </c>
    </row>
    <row r="63" spans="1:12" ht="12" customHeight="1">
      <c r="A63" s="9" t="s">
        <v>87</v>
      </c>
      <c r="B63" s="12">
        <f aca="true" t="shared" si="37" ref="B63:L63">SUM(B64:B71)</f>
        <v>2634100</v>
      </c>
      <c r="C63" s="12">
        <f t="shared" si="37"/>
        <v>7605936</v>
      </c>
      <c r="D63" s="12">
        <f t="shared" si="37"/>
        <v>1024.03</v>
      </c>
      <c r="E63" s="12">
        <f t="shared" si="37"/>
        <v>43.7</v>
      </c>
      <c r="F63" s="12">
        <f t="shared" si="37"/>
        <v>517.3000000000001</v>
      </c>
      <c r="G63" s="12">
        <f t="shared" si="37"/>
        <v>561</v>
      </c>
      <c r="H63" s="12">
        <f t="shared" si="37"/>
        <v>219.70999999999998</v>
      </c>
      <c r="I63" s="12">
        <f t="shared" si="37"/>
        <v>243.32</v>
      </c>
      <c r="J63" s="12">
        <f t="shared" si="37"/>
        <v>463.03</v>
      </c>
      <c r="K63" s="12">
        <f t="shared" si="37"/>
        <v>-1368.4</v>
      </c>
      <c r="L63" s="12">
        <f t="shared" si="37"/>
        <v>-1831.4299999999998</v>
      </c>
    </row>
    <row r="64" spans="1:12" ht="12" customHeight="1">
      <c r="A64" s="14" t="s">
        <v>88</v>
      </c>
      <c r="B64" s="15"/>
      <c r="C64" s="15"/>
      <c r="D64" s="15">
        <f aca="true" t="shared" si="38" ref="D64:D71">ROUNDUP((B64+C64)/10000,2)</f>
        <v>0</v>
      </c>
      <c r="E64" s="16"/>
      <c r="F64" s="16"/>
      <c r="G64" s="15">
        <f aca="true" t="shared" si="39" ref="G64:G71">E64+F64</f>
        <v>0</v>
      </c>
      <c r="H64" s="15">
        <f aca="true" t="shared" si="40" ref="H64:H71">ROUNDUP(B64/10000,2)-E64</f>
        <v>0</v>
      </c>
      <c r="I64" s="15">
        <f aca="true" t="shared" si="41" ref="I64:I71">ROUNDUP(C64/10000,2)-F64</f>
        <v>0</v>
      </c>
      <c r="J64" s="15">
        <f aca="true" t="shared" si="42" ref="J64:J71">D64-G64</f>
        <v>0</v>
      </c>
      <c r="K64" s="27">
        <v>-199.2</v>
      </c>
      <c r="L64" s="25">
        <f aca="true" t="shared" si="43" ref="L64:L71">K64-J64</f>
        <v>-199.2</v>
      </c>
    </row>
    <row r="65" spans="1:12" ht="12" customHeight="1">
      <c r="A65" s="14" t="s">
        <v>394</v>
      </c>
      <c r="B65" s="15"/>
      <c r="C65" s="15"/>
      <c r="D65" s="15">
        <f t="shared" si="38"/>
        <v>0</v>
      </c>
      <c r="E65" s="16"/>
      <c r="F65" s="16"/>
      <c r="G65" s="15">
        <f t="shared" si="39"/>
        <v>0</v>
      </c>
      <c r="H65" s="15">
        <f t="shared" si="40"/>
        <v>0</v>
      </c>
      <c r="I65" s="15">
        <f t="shared" si="41"/>
        <v>0</v>
      </c>
      <c r="J65" s="15">
        <f t="shared" si="42"/>
        <v>0</v>
      </c>
      <c r="K65" s="27"/>
      <c r="L65" s="25">
        <f t="shared" si="43"/>
        <v>0</v>
      </c>
    </row>
    <row r="66" spans="1:12" ht="12" customHeight="1">
      <c r="A66" s="14" t="s">
        <v>395</v>
      </c>
      <c r="B66" s="15">
        <v>49700</v>
      </c>
      <c r="C66" s="15">
        <v>137664</v>
      </c>
      <c r="D66" s="15">
        <f t="shared" si="38"/>
        <v>18.74</v>
      </c>
      <c r="E66" s="17">
        <v>0</v>
      </c>
      <c r="F66" s="17">
        <v>0</v>
      </c>
      <c r="G66" s="18">
        <f t="shared" si="39"/>
        <v>0</v>
      </c>
      <c r="H66" s="15">
        <f t="shared" si="40"/>
        <v>4.97</v>
      </c>
      <c r="I66" s="15">
        <f t="shared" si="41"/>
        <v>13.77</v>
      </c>
      <c r="J66" s="18">
        <f t="shared" si="42"/>
        <v>18.74</v>
      </c>
      <c r="K66" s="27"/>
      <c r="L66" s="25">
        <f t="shared" si="43"/>
        <v>-18.74</v>
      </c>
    </row>
    <row r="67" spans="1:12" ht="12" customHeight="1">
      <c r="A67" s="14" t="s">
        <v>396</v>
      </c>
      <c r="B67" s="15">
        <v>21300</v>
      </c>
      <c r="C67" s="15">
        <v>68832</v>
      </c>
      <c r="D67" s="15">
        <f t="shared" si="38"/>
        <v>9.02</v>
      </c>
      <c r="E67" s="17">
        <v>0.1</v>
      </c>
      <c r="F67" s="17">
        <v>2.6</v>
      </c>
      <c r="G67" s="18">
        <f t="shared" si="39"/>
        <v>2.7</v>
      </c>
      <c r="H67" s="15">
        <f t="shared" si="40"/>
        <v>2.03</v>
      </c>
      <c r="I67" s="15">
        <f t="shared" si="41"/>
        <v>4.289999999999999</v>
      </c>
      <c r="J67" s="18">
        <f t="shared" si="42"/>
        <v>6.319999999999999</v>
      </c>
      <c r="K67" s="27"/>
      <c r="L67" s="25">
        <f t="shared" si="43"/>
        <v>-6.319999999999999</v>
      </c>
    </row>
    <row r="68" spans="1:12" ht="12" customHeight="1">
      <c r="A68" s="14" t="s">
        <v>89</v>
      </c>
      <c r="B68" s="15">
        <v>482800</v>
      </c>
      <c r="C68" s="15">
        <v>963648</v>
      </c>
      <c r="D68" s="15">
        <f t="shared" si="38"/>
        <v>144.65</v>
      </c>
      <c r="E68" s="16">
        <v>8.4</v>
      </c>
      <c r="F68" s="16">
        <v>142.4</v>
      </c>
      <c r="G68" s="15">
        <f t="shared" si="39"/>
        <v>150.8</v>
      </c>
      <c r="H68" s="15">
        <f t="shared" si="40"/>
        <v>39.88</v>
      </c>
      <c r="I68" s="15">
        <f t="shared" si="41"/>
        <v>-46.03</v>
      </c>
      <c r="J68" s="15">
        <f t="shared" si="42"/>
        <v>-6.150000000000006</v>
      </c>
      <c r="K68" s="27">
        <v>-162.29</v>
      </c>
      <c r="L68" s="25">
        <f t="shared" si="43"/>
        <v>-156.14</v>
      </c>
    </row>
    <row r="69" spans="1:12" ht="12" customHeight="1">
      <c r="A69" s="14" t="s">
        <v>90</v>
      </c>
      <c r="B69" s="15">
        <v>1136000</v>
      </c>
      <c r="C69" s="15">
        <v>4646160</v>
      </c>
      <c r="D69" s="15">
        <f t="shared" si="38"/>
        <v>578.22</v>
      </c>
      <c r="E69" s="16">
        <v>16</v>
      </c>
      <c r="F69" s="16">
        <v>221.3</v>
      </c>
      <c r="G69" s="15">
        <f t="shared" si="39"/>
        <v>237.3</v>
      </c>
      <c r="H69" s="15">
        <f t="shared" si="40"/>
        <v>97.6</v>
      </c>
      <c r="I69" s="15">
        <f t="shared" si="41"/>
        <v>243.32</v>
      </c>
      <c r="J69" s="15">
        <f t="shared" si="42"/>
        <v>340.92</v>
      </c>
      <c r="K69" s="27">
        <v>-233.36</v>
      </c>
      <c r="L69" s="25">
        <f t="shared" si="43"/>
        <v>-574.28</v>
      </c>
    </row>
    <row r="70" spans="1:12" ht="12" customHeight="1">
      <c r="A70" s="14" t="s">
        <v>91</v>
      </c>
      <c r="B70" s="15">
        <v>745500</v>
      </c>
      <c r="C70" s="15">
        <v>963648</v>
      </c>
      <c r="D70" s="15">
        <f t="shared" si="38"/>
        <v>170.92</v>
      </c>
      <c r="E70" s="16">
        <v>6.2</v>
      </c>
      <c r="F70" s="16">
        <v>68.8</v>
      </c>
      <c r="G70" s="15">
        <f t="shared" si="39"/>
        <v>75</v>
      </c>
      <c r="H70" s="15">
        <f t="shared" si="40"/>
        <v>68.35</v>
      </c>
      <c r="I70" s="15">
        <f t="shared" si="41"/>
        <v>27.570000000000007</v>
      </c>
      <c r="J70" s="15">
        <f t="shared" si="42"/>
        <v>95.91999999999999</v>
      </c>
      <c r="K70" s="29">
        <v>-773.55</v>
      </c>
      <c r="L70" s="25">
        <f t="shared" si="43"/>
        <v>-869.4699999999999</v>
      </c>
    </row>
    <row r="71" spans="1:12" ht="12" customHeight="1">
      <c r="A71" s="14" t="s">
        <v>92</v>
      </c>
      <c r="B71" s="15">
        <v>198800</v>
      </c>
      <c r="C71" s="15">
        <v>825984</v>
      </c>
      <c r="D71" s="15">
        <f t="shared" si="38"/>
        <v>102.48</v>
      </c>
      <c r="E71" s="16">
        <v>13</v>
      </c>
      <c r="F71" s="16">
        <v>82.2</v>
      </c>
      <c r="G71" s="15">
        <f t="shared" si="39"/>
        <v>95.2</v>
      </c>
      <c r="H71" s="15">
        <f t="shared" si="40"/>
        <v>6.879999999999999</v>
      </c>
      <c r="I71" s="15">
        <f t="shared" si="41"/>
        <v>0.3999999999999915</v>
      </c>
      <c r="J71" s="15">
        <f t="shared" si="42"/>
        <v>7.280000000000001</v>
      </c>
      <c r="K71" s="27"/>
      <c r="L71" s="25">
        <f t="shared" si="43"/>
        <v>-7.280000000000001</v>
      </c>
    </row>
    <row r="72" spans="1:12" ht="12" customHeight="1">
      <c r="A72" s="9" t="s">
        <v>93</v>
      </c>
      <c r="B72" s="12">
        <f aca="true" t="shared" si="44" ref="B72:L72">SUM(B73:B77)</f>
        <v>958500</v>
      </c>
      <c r="C72" s="12">
        <f t="shared" si="44"/>
        <v>6642288</v>
      </c>
      <c r="D72" s="12">
        <f t="shared" si="44"/>
        <v>760.09</v>
      </c>
      <c r="E72" s="12">
        <f t="shared" si="44"/>
        <v>39.599999999999994</v>
      </c>
      <c r="F72" s="12">
        <f t="shared" si="44"/>
        <v>456.4</v>
      </c>
      <c r="G72" s="12">
        <f t="shared" si="44"/>
        <v>496</v>
      </c>
      <c r="H72" s="12">
        <f t="shared" si="44"/>
        <v>56.25</v>
      </c>
      <c r="I72" s="12">
        <f t="shared" si="44"/>
        <v>207.83999999999997</v>
      </c>
      <c r="J72" s="12">
        <f t="shared" si="44"/>
        <v>264.09</v>
      </c>
      <c r="K72" s="12">
        <f t="shared" si="44"/>
        <v>-33.1</v>
      </c>
      <c r="L72" s="12">
        <f t="shared" si="44"/>
        <v>-297.18999999999994</v>
      </c>
    </row>
    <row r="73" spans="1:12" ht="12" customHeight="1">
      <c r="A73" s="14" t="s">
        <v>94</v>
      </c>
      <c r="B73" s="15">
        <v>0</v>
      </c>
      <c r="C73" s="15">
        <v>0</v>
      </c>
      <c r="D73" s="15">
        <f aca="true" t="shared" si="45" ref="D73:D77">ROUNDUP((B73+C73)/10000,2)</f>
        <v>0</v>
      </c>
      <c r="E73" s="16"/>
      <c r="F73" s="16"/>
      <c r="G73" s="15">
        <f aca="true" t="shared" si="46" ref="G73:G77">E73+F73</f>
        <v>0</v>
      </c>
      <c r="H73" s="15">
        <f aca="true" t="shared" si="47" ref="H73:H77">ROUNDUP(B73/10000,2)-E73</f>
        <v>0</v>
      </c>
      <c r="I73" s="15">
        <f aca="true" t="shared" si="48" ref="I73:I77">ROUNDUP(C73/10000,2)-F73</f>
        <v>0</v>
      </c>
      <c r="J73" s="15">
        <f aca="true" t="shared" si="49" ref="J73:J77">D73-G73</f>
        <v>0</v>
      </c>
      <c r="K73" s="27">
        <v>-33.1</v>
      </c>
      <c r="L73" s="25">
        <f aca="true" t="shared" si="50" ref="L73:L77">K73-J73</f>
        <v>-33.1</v>
      </c>
    </row>
    <row r="74" spans="1:12" ht="12" customHeight="1">
      <c r="A74" s="14" t="s">
        <v>397</v>
      </c>
      <c r="B74" s="15"/>
      <c r="C74" s="15"/>
      <c r="D74" s="15">
        <f t="shared" si="45"/>
        <v>0</v>
      </c>
      <c r="E74" s="16"/>
      <c r="F74" s="16"/>
      <c r="G74" s="15">
        <f t="shared" si="46"/>
        <v>0</v>
      </c>
      <c r="H74" s="15">
        <f t="shared" si="47"/>
        <v>0</v>
      </c>
      <c r="I74" s="15">
        <f t="shared" si="48"/>
        <v>0</v>
      </c>
      <c r="J74" s="15">
        <f t="shared" si="49"/>
        <v>0</v>
      </c>
      <c r="K74" s="27"/>
      <c r="L74" s="25">
        <f t="shared" si="50"/>
        <v>0</v>
      </c>
    </row>
    <row r="75" spans="1:12" ht="12" customHeight="1">
      <c r="A75" s="14" t="s">
        <v>95</v>
      </c>
      <c r="B75" s="15">
        <v>369200</v>
      </c>
      <c r="C75" s="15">
        <v>2753280</v>
      </c>
      <c r="D75" s="15">
        <f t="shared" si="45"/>
        <v>312.25</v>
      </c>
      <c r="E75" s="16">
        <v>7.7</v>
      </c>
      <c r="F75" s="16">
        <v>136.4</v>
      </c>
      <c r="G75" s="15">
        <f t="shared" si="46"/>
        <v>144.1</v>
      </c>
      <c r="H75" s="15">
        <f t="shared" si="47"/>
        <v>29.220000000000002</v>
      </c>
      <c r="I75" s="15">
        <f t="shared" si="48"/>
        <v>138.92999999999998</v>
      </c>
      <c r="J75" s="15">
        <f t="shared" si="49"/>
        <v>168.15</v>
      </c>
      <c r="K75" s="27"/>
      <c r="L75" s="25">
        <f t="shared" si="50"/>
        <v>-168.15</v>
      </c>
    </row>
    <row r="76" spans="1:12" ht="12" customHeight="1">
      <c r="A76" s="14" t="s">
        <v>96</v>
      </c>
      <c r="B76" s="15">
        <v>355000</v>
      </c>
      <c r="C76" s="15">
        <v>2237040</v>
      </c>
      <c r="D76" s="15">
        <f t="shared" si="45"/>
        <v>259.21</v>
      </c>
      <c r="E76" s="16">
        <v>7</v>
      </c>
      <c r="F76" s="16">
        <v>207.6</v>
      </c>
      <c r="G76" s="15">
        <f t="shared" si="46"/>
        <v>214.6</v>
      </c>
      <c r="H76" s="15">
        <f t="shared" si="47"/>
        <v>28.5</v>
      </c>
      <c r="I76" s="15">
        <f t="shared" si="48"/>
        <v>16.110000000000014</v>
      </c>
      <c r="J76" s="15">
        <f t="shared" si="49"/>
        <v>44.609999999999985</v>
      </c>
      <c r="K76" s="27"/>
      <c r="L76" s="25">
        <f t="shared" si="50"/>
        <v>-44.609999999999985</v>
      </c>
    </row>
    <row r="77" spans="1:12" ht="12" customHeight="1">
      <c r="A77" s="14" t="s">
        <v>97</v>
      </c>
      <c r="B77" s="15">
        <v>234300</v>
      </c>
      <c r="C77" s="15">
        <v>1651968</v>
      </c>
      <c r="D77" s="15">
        <f t="shared" si="45"/>
        <v>188.63</v>
      </c>
      <c r="E77" s="16">
        <v>24.9</v>
      </c>
      <c r="F77" s="16">
        <v>112.4</v>
      </c>
      <c r="G77" s="15">
        <f t="shared" si="46"/>
        <v>137.3</v>
      </c>
      <c r="H77" s="15">
        <f t="shared" si="47"/>
        <v>-1.4699999999999989</v>
      </c>
      <c r="I77" s="15">
        <f t="shared" si="48"/>
        <v>52.79999999999998</v>
      </c>
      <c r="J77" s="15">
        <f t="shared" si="49"/>
        <v>51.329999999999984</v>
      </c>
      <c r="K77" s="27"/>
      <c r="L77" s="25">
        <f t="shared" si="50"/>
        <v>-51.329999999999984</v>
      </c>
    </row>
    <row r="78" spans="1:12" ht="12" customHeight="1">
      <c r="A78" s="9" t="s">
        <v>98</v>
      </c>
      <c r="B78" s="12">
        <f aca="true" t="shared" si="51" ref="B78:L78">SUM(B79:B86)</f>
        <v>2300400</v>
      </c>
      <c r="C78" s="12">
        <f t="shared" si="51"/>
        <v>8328672</v>
      </c>
      <c r="D78" s="12">
        <f t="shared" si="51"/>
        <v>1062.93</v>
      </c>
      <c r="E78" s="12">
        <f t="shared" si="51"/>
        <v>192.60000000000002</v>
      </c>
      <c r="F78" s="12">
        <f t="shared" si="51"/>
        <v>711.3</v>
      </c>
      <c r="G78" s="12">
        <f t="shared" si="51"/>
        <v>903.9</v>
      </c>
      <c r="H78" s="12">
        <f t="shared" si="51"/>
        <v>37.44</v>
      </c>
      <c r="I78" s="12">
        <f t="shared" si="51"/>
        <v>121.59</v>
      </c>
      <c r="J78" s="12">
        <f t="shared" si="51"/>
        <v>159.03000000000003</v>
      </c>
      <c r="K78" s="12">
        <f t="shared" si="51"/>
        <v>-198.82999999999998</v>
      </c>
      <c r="L78" s="12">
        <f t="shared" si="51"/>
        <v>-357.86</v>
      </c>
    </row>
    <row r="79" spans="1:12" ht="12" customHeight="1">
      <c r="A79" s="14" t="s">
        <v>99</v>
      </c>
      <c r="B79" s="15"/>
      <c r="C79" s="15"/>
      <c r="D79" s="15">
        <f aca="true" t="shared" si="52" ref="D79:D86">ROUNDUP((B79+C79)/10000,2)</f>
        <v>0</v>
      </c>
      <c r="E79" s="16"/>
      <c r="F79" s="16"/>
      <c r="G79" s="15">
        <f aca="true" t="shared" si="53" ref="G79:G86">E79+F79</f>
        <v>0</v>
      </c>
      <c r="H79" s="15">
        <f aca="true" t="shared" si="54" ref="H79:H86">ROUNDUP(B79/10000,2)-E79</f>
        <v>0</v>
      </c>
      <c r="I79" s="15">
        <f aca="true" t="shared" si="55" ref="I79:I86">ROUNDUP(C79/10000,2)-F79</f>
        <v>0</v>
      </c>
      <c r="J79" s="15">
        <f aca="true" t="shared" si="56" ref="J79:J86">D79-G79</f>
        <v>0</v>
      </c>
      <c r="K79" s="27">
        <v>-100.49</v>
      </c>
      <c r="L79" s="25">
        <f aca="true" t="shared" si="57" ref="L79:L86">K79-J79</f>
        <v>-100.49</v>
      </c>
    </row>
    <row r="80" spans="1:12" ht="12" customHeight="1">
      <c r="A80" s="14" t="s">
        <v>398</v>
      </c>
      <c r="B80" s="15"/>
      <c r="C80" s="15"/>
      <c r="D80" s="15">
        <f t="shared" si="52"/>
        <v>0</v>
      </c>
      <c r="E80" s="16"/>
      <c r="F80" s="16"/>
      <c r="G80" s="15">
        <f t="shared" si="53"/>
        <v>0</v>
      </c>
      <c r="H80" s="15">
        <f t="shared" si="54"/>
        <v>0</v>
      </c>
      <c r="I80" s="15">
        <f t="shared" si="55"/>
        <v>0</v>
      </c>
      <c r="J80" s="15">
        <f t="shared" si="56"/>
        <v>0</v>
      </c>
      <c r="K80" s="27"/>
      <c r="L80" s="25">
        <f t="shared" si="57"/>
        <v>0</v>
      </c>
    </row>
    <row r="81" spans="1:12" ht="12" customHeight="1">
      <c r="A81" s="14" t="s">
        <v>399</v>
      </c>
      <c r="B81" s="15">
        <v>92300</v>
      </c>
      <c r="C81" s="15">
        <v>34416</v>
      </c>
      <c r="D81" s="15">
        <f t="shared" si="52"/>
        <v>12.68</v>
      </c>
      <c r="E81" s="17">
        <v>0</v>
      </c>
      <c r="F81" s="17">
        <v>0</v>
      </c>
      <c r="G81" s="18">
        <f t="shared" si="53"/>
        <v>0</v>
      </c>
      <c r="H81" s="15">
        <f t="shared" si="54"/>
        <v>9.23</v>
      </c>
      <c r="I81" s="15">
        <f t="shared" si="55"/>
        <v>3.45</v>
      </c>
      <c r="J81" s="18">
        <f t="shared" si="56"/>
        <v>12.68</v>
      </c>
      <c r="K81" s="27"/>
      <c r="L81" s="25">
        <f t="shared" si="57"/>
        <v>-12.68</v>
      </c>
    </row>
    <row r="82" spans="1:12" ht="12" customHeight="1">
      <c r="A82" s="14" t="s">
        <v>400</v>
      </c>
      <c r="B82" s="15">
        <v>78100</v>
      </c>
      <c r="C82" s="15">
        <v>206496</v>
      </c>
      <c r="D82" s="15">
        <f t="shared" si="52"/>
        <v>28.46</v>
      </c>
      <c r="E82" s="17">
        <v>0</v>
      </c>
      <c r="F82" s="17">
        <v>0</v>
      </c>
      <c r="G82" s="18">
        <f t="shared" si="53"/>
        <v>0</v>
      </c>
      <c r="H82" s="15">
        <f t="shared" si="54"/>
        <v>7.81</v>
      </c>
      <c r="I82" s="15">
        <f t="shared" si="55"/>
        <v>20.65</v>
      </c>
      <c r="J82" s="18">
        <f t="shared" si="56"/>
        <v>28.46</v>
      </c>
      <c r="K82" s="27"/>
      <c r="L82" s="25">
        <f t="shared" si="57"/>
        <v>-28.46</v>
      </c>
    </row>
    <row r="83" spans="1:12" ht="12" customHeight="1">
      <c r="A83" s="14" t="s">
        <v>100</v>
      </c>
      <c r="B83" s="15">
        <v>589300</v>
      </c>
      <c r="C83" s="15">
        <v>963648</v>
      </c>
      <c r="D83" s="15">
        <f t="shared" si="52"/>
        <v>155.3</v>
      </c>
      <c r="E83" s="16">
        <v>31.8</v>
      </c>
      <c r="F83" s="16">
        <v>242.6</v>
      </c>
      <c r="G83" s="15">
        <f t="shared" si="53"/>
        <v>274.4</v>
      </c>
      <c r="H83" s="15">
        <f t="shared" si="54"/>
        <v>27.13</v>
      </c>
      <c r="I83" s="15">
        <f t="shared" si="55"/>
        <v>-146.23</v>
      </c>
      <c r="J83" s="15">
        <f t="shared" si="56"/>
        <v>-119.09999999999997</v>
      </c>
      <c r="K83" s="27"/>
      <c r="L83" s="25">
        <f t="shared" si="57"/>
        <v>119.09999999999997</v>
      </c>
    </row>
    <row r="84" spans="1:12" ht="12" customHeight="1">
      <c r="A84" s="14" t="s">
        <v>102</v>
      </c>
      <c r="B84" s="15">
        <v>291100</v>
      </c>
      <c r="C84" s="15">
        <v>1273392</v>
      </c>
      <c r="D84" s="15">
        <f t="shared" si="52"/>
        <v>156.45</v>
      </c>
      <c r="E84" s="16">
        <v>25.7</v>
      </c>
      <c r="F84" s="16">
        <v>104.5</v>
      </c>
      <c r="G84" s="15">
        <f t="shared" si="53"/>
        <v>130.2</v>
      </c>
      <c r="H84" s="15">
        <f t="shared" si="54"/>
        <v>3.41</v>
      </c>
      <c r="I84" s="15">
        <f t="shared" si="55"/>
        <v>22.840000000000003</v>
      </c>
      <c r="J84" s="15">
        <f t="shared" si="56"/>
        <v>26.25</v>
      </c>
      <c r="K84" s="27"/>
      <c r="L84" s="25">
        <f t="shared" si="57"/>
        <v>-26.25</v>
      </c>
    </row>
    <row r="85" spans="1:12" ht="12" customHeight="1">
      <c r="A85" s="14" t="s">
        <v>103</v>
      </c>
      <c r="B85" s="15">
        <v>397600</v>
      </c>
      <c r="C85" s="15">
        <v>1789632</v>
      </c>
      <c r="D85" s="15">
        <f t="shared" si="52"/>
        <v>218.73</v>
      </c>
      <c r="E85" s="16">
        <v>27.4</v>
      </c>
      <c r="F85" s="16">
        <v>117.9</v>
      </c>
      <c r="G85" s="15">
        <f t="shared" si="53"/>
        <v>145.3</v>
      </c>
      <c r="H85" s="15">
        <f t="shared" si="54"/>
        <v>12.36</v>
      </c>
      <c r="I85" s="15">
        <f t="shared" si="55"/>
        <v>61.06999999999999</v>
      </c>
      <c r="J85" s="15">
        <f t="shared" si="56"/>
        <v>73.42999999999998</v>
      </c>
      <c r="K85" s="27">
        <v>-98.34</v>
      </c>
      <c r="L85" s="25">
        <f t="shared" si="57"/>
        <v>-171.76999999999998</v>
      </c>
    </row>
    <row r="86" spans="1:12" ht="12" customHeight="1">
      <c r="A86" s="14" t="s">
        <v>101</v>
      </c>
      <c r="B86" s="15">
        <v>852000</v>
      </c>
      <c r="C86" s="15">
        <v>4061088</v>
      </c>
      <c r="D86" s="15">
        <f t="shared" si="52"/>
        <v>491.31</v>
      </c>
      <c r="E86" s="16">
        <v>107.7</v>
      </c>
      <c r="F86" s="16">
        <v>246.3</v>
      </c>
      <c r="G86" s="15">
        <f t="shared" si="53"/>
        <v>354</v>
      </c>
      <c r="H86" s="15">
        <f t="shared" si="54"/>
        <v>-22.5</v>
      </c>
      <c r="I86" s="15">
        <f t="shared" si="55"/>
        <v>159.81</v>
      </c>
      <c r="J86" s="15">
        <f t="shared" si="56"/>
        <v>137.31</v>
      </c>
      <c r="K86" s="27"/>
      <c r="L86" s="25">
        <f t="shared" si="57"/>
        <v>-137.31</v>
      </c>
    </row>
    <row r="87" spans="1:12" ht="12" customHeight="1">
      <c r="A87" s="9" t="s">
        <v>104</v>
      </c>
      <c r="B87" s="12">
        <f aca="true" t="shared" si="58" ref="B87:L87">SUM(B88:B101)</f>
        <v>7760300</v>
      </c>
      <c r="C87" s="12">
        <f t="shared" si="58"/>
        <v>27773712</v>
      </c>
      <c r="D87" s="12">
        <f t="shared" si="58"/>
        <v>3553.4399999999996</v>
      </c>
      <c r="E87" s="12">
        <f t="shared" si="58"/>
        <v>285.5</v>
      </c>
      <c r="F87" s="12">
        <f t="shared" si="58"/>
        <v>2100.5</v>
      </c>
      <c r="G87" s="12">
        <f t="shared" si="58"/>
        <v>2386</v>
      </c>
      <c r="H87" s="12">
        <f t="shared" si="58"/>
        <v>490.53</v>
      </c>
      <c r="I87" s="12">
        <f t="shared" si="58"/>
        <v>676.91</v>
      </c>
      <c r="J87" s="12">
        <f t="shared" si="58"/>
        <v>1167.4399999999998</v>
      </c>
      <c r="K87" s="12">
        <f t="shared" si="58"/>
        <v>-798.4200000000001</v>
      </c>
      <c r="L87" s="12">
        <f t="shared" si="58"/>
        <v>-1965.8600000000001</v>
      </c>
    </row>
    <row r="88" spans="1:12" ht="12" customHeight="1">
      <c r="A88" s="14" t="s">
        <v>105</v>
      </c>
      <c r="B88" s="15"/>
      <c r="C88" s="15"/>
      <c r="D88" s="15">
        <f aca="true" t="shared" si="59" ref="D88:D101">ROUNDUP((B88+C88)/10000,2)</f>
        <v>0</v>
      </c>
      <c r="E88" s="16"/>
      <c r="F88" s="16"/>
      <c r="G88" s="15">
        <f aca="true" t="shared" si="60" ref="G88:G101">E88+F88</f>
        <v>0</v>
      </c>
      <c r="H88" s="15">
        <f aca="true" t="shared" si="61" ref="H88:H101">ROUNDUP(B88/10000,2)-E88</f>
        <v>0</v>
      </c>
      <c r="I88" s="15">
        <f aca="true" t="shared" si="62" ref="I88:I91">ROUNDUP(C88/10000,2)-F88</f>
        <v>0</v>
      </c>
      <c r="J88" s="15">
        <f aca="true" t="shared" si="63" ref="J88:J101">D88-G88</f>
        <v>0</v>
      </c>
      <c r="K88" s="27">
        <v>-378.66</v>
      </c>
      <c r="L88" s="25">
        <f aca="true" t="shared" si="64" ref="L88:L101">K88-J88</f>
        <v>-378.66</v>
      </c>
    </row>
    <row r="89" spans="1:12" ht="12" customHeight="1">
      <c r="A89" s="14" t="s">
        <v>401</v>
      </c>
      <c r="B89" s="15"/>
      <c r="C89" s="15"/>
      <c r="D89" s="15">
        <f t="shared" si="59"/>
        <v>0</v>
      </c>
      <c r="E89" s="16"/>
      <c r="F89" s="16"/>
      <c r="G89" s="15">
        <f t="shared" si="60"/>
        <v>0</v>
      </c>
      <c r="H89" s="15">
        <f t="shared" si="61"/>
        <v>0</v>
      </c>
      <c r="I89" s="15">
        <f t="shared" si="62"/>
        <v>0</v>
      </c>
      <c r="J89" s="15">
        <f t="shared" si="63"/>
        <v>0</v>
      </c>
      <c r="K89" s="27"/>
      <c r="L89" s="25">
        <f t="shared" si="64"/>
        <v>0</v>
      </c>
    </row>
    <row r="90" spans="1:12" ht="12" customHeight="1">
      <c r="A90" s="14" t="s">
        <v>402</v>
      </c>
      <c r="B90" s="15">
        <v>269800</v>
      </c>
      <c r="C90" s="15">
        <v>172080</v>
      </c>
      <c r="D90" s="15">
        <f t="shared" si="59"/>
        <v>44.19</v>
      </c>
      <c r="E90" s="17">
        <v>0</v>
      </c>
      <c r="F90" s="17">
        <v>0</v>
      </c>
      <c r="G90" s="18">
        <f t="shared" si="60"/>
        <v>0</v>
      </c>
      <c r="H90" s="15">
        <f t="shared" si="61"/>
        <v>26.98</v>
      </c>
      <c r="I90" s="15">
        <f t="shared" si="62"/>
        <v>17.21</v>
      </c>
      <c r="J90" s="18">
        <f t="shared" si="63"/>
        <v>44.19</v>
      </c>
      <c r="K90" s="27"/>
      <c r="L90" s="25">
        <f t="shared" si="64"/>
        <v>-44.19</v>
      </c>
    </row>
    <row r="91" spans="1:12" ht="12" customHeight="1">
      <c r="A91" s="14" t="s">
        <v>403</v>
      </c>
      <c r="B91" s="15">
        <v>35500</v>
      </c>
      <c r="C91" s="15">
        <v>172080</v>
      </c>
      <c r="D91" s="15">
        <f t="shared" si="59"/>
        <v>20.76</v>
      </c>
      <c r="E91" s="17"/>
      <c r="F91" s="17"/>
      <c r="G91" s="18">
        <f t="shared" si="60"/>
        <v>0</v>
      </c>
      <c r="H91" s="15">
        <f t="shared" si="61"/>
        <v>3.55</v>
      </c>
      <c r="I91" s="15">
        <f t="shared" si="62"/>
        <v>17.21</v>
      </c>
      <c r="J91" s="18">
        <f t="shared" si="63"/>
        <v>20.76</v>
      </c>
      <c r="K91" s="27"/>
      <c r="L91" s="25">
        <f t="shared" si="64"/>
        <v>-20.76</v>
      </c>
    </row>
    <row r="92" spans="1:12" ht="12" customHeight="1">
      <c r="A92" s="14" t="s">
        <v>404</v>
      </c>
      <c r="B92" s="15">
        <v>0</v>
      </c>
      <c r="C92" s="15">
        <v>0</v>
      </c>
      <c r="D92" s="15">
        <f t="shared" si="59"/>
        <v>0</v>
      </c>
      <c r="E92" s="16"/>
      <c r="F92" s="16"/>
      <c r="G92" s="15">
        <f t="shared" si="60"/>
        <v>0</v>
      </c>
      <c r="H92" s="15">
        <f t="shared" si="61"/>
        <v>0</v>
      </c>
      <c r="I92" s="15">
        <v>0</v>
      </c>
      <c r="J92" s="15">
        <f t="shared" si="63"/>
        <v>0</v>
      </c>
      <c r="K92" s="27"/>
      <c r="L92" s="25">
        <f t="shared" si="64"/>
        <v>0</v>
      </c>
    </row>
    <row r="93" spans="1:12" ht="12" customHeight="1">
      <c r="A93" s="14" t="s">
        <v>106</v>
      </c>
      <c r="B93" s="15">
        <v>660300</v>
      </c>
      <c r="C93" s="15">
        <v>1892880</v>
      </c>
      <c r="D93" s="15">
        <f t="shared" si="59"/>
        <v>255.32</v>
      </c>
      <c r="E93" s="16">
        <v>38.1</v>
      </c>
      <c r="F93" s="16">
        <v>280.6</v>
      </c>
      <c r="G93" s="15">
        <f t="shared" si="60"/>
        <v>318.70000000000005</v>
      </c>
      <c r="H93" s="15">
        <f t="shared" si="61"/>
        <v>27.93</v>
      </c>
      <c r="I93" s="15">
        <f aca="true" t="shared" si="65" ref="I93:I101">ROUNDUP(C93/10000,2)-F93</f>
        <v>-91.31000000000003</v>
      </c>
      <c r="J93" s="15">
        <f t="shared" si="63"/>
        <v>-63.38000000000005</v>
      </c>
      <c r="K93" s="27"/>
      <c r="L93" s="25">
        <f t="shared" si="64"/>
        <v>63.38000000000005</v>
      </c>
    </row>
    <row r="94" spans="1:12" ht="12" customHeight="1">
      <c r="A94" s="14" t="s">
        <v>107</v>
      </c>
      <c r="B94" s="15">
        <v>951400</v>
      </c>
      <c r="C94" s="15">
        <v>2340288</v>
      </c>
      <c r="D94" s="15">
        <f t="shared" si="59"/>
        <v>329.17</v>
      </c>
      <c r="E94" s="16">
        <v>10.6</v>
      </c>
      <c r="F94" s="16">
        <v>331.1</v>
      </c>
      <c r="G94" s="15">
        <f t="shared" si="60"/>
        <v>341.70000000000005</v>
      </c>
      <c r="H94" s="15">
        <f t="shared" si="61"/>
        <v>84.54</v>
      </c>
      <c r="I94" s="15">
        <f t="shared" si="65"/>
        <v>-97.07000000000002</v>
      </c>
      <c r="J94" s="15">
        <f t="shared" si="63"/>
        <v>-12.53000000000003</v>
      </c>
      <c r="K94" s="27"/>
      <c r="L94" s="25">
        <f t="shared" si="64"/>
        <v>12.53000000000003</v>
      </c>
    </row>
    <row r="95" spans="1:12" ht="12" customHeight="1">
      <c r="A95" s="14" t="s">
        <v>109</v>
      </c>
      <c r="B95" s="15">
        <v>269800</v>
      </c>
      <c r="C95" s="15">
        <v>1066896</v>
      </c>
      <c r="D95" s="15">
        <f t="shared" si="59"/>
        <v>133.67</v>
      </c>
      <c r="E95" s="16">
        <v>4.2</v>
      </c>
      <c r="F95" s="16">
        <v>75.8</v>
      </c>
      <c r="G95" s="15">
        <f t="shared" si="60"/>
        <v>80</v>
      </c>
      <c r="H95" s="15">
        <f t="shared" si="61"/>
        <v>22.78</v>
      </c>
      <c r="I95" s="15">
        <f t="shared" si="65"/>
        <v>30.89</v>
      </c>
      <c r="J95" s="15">
        <f t="shared" si="63"/>
        <v>53.66999999999999</v>
      </c>
      <c r="K95" s="27"/>
      <c r="L95" s="25">
        <f t="shared" si="64"/>
        <v>-53.66999999999999</v>
      </c>
    </row>
    <row r="96" spans="1:12" ht="12" customHeight="1">
      <c r="A96" s="14" t="s">
        <v>108</v>
      </c>
      <c r="B96" s="15">
        <v>42600</v>
      </c>
      <c r="C96" s="15">
        <v>240912</v>
      </c>
      <c r="D96" s="15">
        <f t="shared" si="59"/>
        <v>28.36</v>
      </c>
      <c r="E96" s="16">
        <v>2.4</v>
      </c>
      <c r="F96" s="16">
        <v>12.1</v>
      </c>
      <c r="G96" s="15">
        <f t="shared" si="60"/>
        <v>14.5</v>
      </c>
      <c r="H96" s="15">
        <f t="shared" si="61"/>
        <v>1.8599999999999999</v>
      </c>
      <c r="I96" s="15">
        <f t="shared" si="65"/>
        <v>12.000000000000002</v>
      </c>
      <c r="J96" s="15">
        <f t="shared" si="63"/>
        <v>13.86</v>
      </c>
      <c r="K96" s="27"/>
      <c r="L96" s="25">
        <f t="shared" si="64"/>
        <v>-13.86</v>
      </c>
    </row>
    <row r="97" spans="1:12" ht="12" customHeight="1">
      <c r="A97" s="14" t="s">
        <v>112</v>
      </c>
      <c r="B97" s="15">
        <v>994000</v>
      </c>
      <c r="C97" s="15">
        <v>2477952</v>
      </c>
      <c r="D97" s="15">
        <f t="shared" si="59"/>
        <v>347.2</v>
      </c>
      <c r="E97" s="16">
        <v>67.4</v>
      </c>
      <c r="F97" s="16">
        <v>316.6</v>
      </c>
      <c r="G97" s="15">
        <f t="shared" si="60"/>
        <v>384</v>
      </c>
      <c r="H97" s="15">
        <f t="shared" si="61"/>
        <v>32</v>
      </c>
      <c r="I97" s="15">
        <f t="shared" si="65"/>
        <v>-68.80000000000001</v>
      </c>
      <c r="J97" s="15">
        <f t="shared" si="63"/>
        <v>-36.80000000000001</v>
      </c>
      <c r="K97" s="27"/>
      <c r="L97" s="25">
        <f t="shared" si="64"/>
        <v>36.80000000000001</v>
      </c>
    </row>
    <row r="98" spans="1:12" ht="12" customHeight="1">
      <c r="A98" s="14" t="s">
        <v>113</v>
      </c>
      <c r="B98" s="15">
        <v>788100</v>
      </c>
      <c r="C98" s="15">
        <v>2822112</v>
      </c>
      <c r="D98" s="15">
        <f t="shared" si="59"/>
        <v>361.03</v>
      </c>
      <c r="E98" s="16">
        <v>9.7</v>
      </c>
      <c r="F98" s="16">
        <v>204.5</v>
      </c>
      <c r="G98" s="15">
        <f t="shared" si="60"/>
        <v>214.2</v>
      </c>
      <c r="H98" s="15">
        <f t="shared" si="61"/>
        <v>69.11</v>
      </c>
      <c r="I98" s="15">
        <f t="shared" si="65"/>
        <v>77.72000000000003</v>
      </c>
      <c r="J98" s="15">
        <f t="shared" si="63"/>
        <v>146.82999999999998</v>
      </c>
      <c r="K98" s="27">
        <v>-13.33</v>
      </c>
      <c r="L98" s="25">
        <f t="shared" si="64"/>
        <v>-160.16</v>
      </c>
    </row>
    <row r="99" spans="1:12" ht="12" customHeight="1">
      <c r="A99" s="14" t="s">
        <v>110</v>
      </c>
      <c r="B99" s="15">
        <v>1562000</v>
      </c>
      <c r="C99" s="15">
        <v>7433856</v>
      </c>
      <c r="D99" s="15">
        <f t="shared" si="59"/>
        <v>899.59</v>
      </c>
      <c r="E99" s="16">
        <v>85.3</v>
      </c>
      <c r="F99" s="16">
        <v>336.6</v>
      </c>
      <c r="G99" s="15">
        <f t="shared" si="60"/>
        <v>421.90000000000003</v>
      </c>
      <c r="H99" s="15">
        <f t="shared" si="61"/>
        <v>70.89999999999999</v>
      </c>
      <c r="I99" s="15">
        <f t="shared" si="65"/>
        <v>406.78999999999996</v>
      </c>
      <c r="J99" s="15">
        <f t="shared" si="63"/>
        <v>477.69</v>
      </c>
      <c r="K99" s="27">
        <v>-406.43</v>
      </c>
      <c r="L99" s="25">
        <f t="shared" si="64"/>
        <v>-884.12</v>
      </c>
    </row>
    <row r="100" spans="1:12" ht="12" customHeight="1">
      <c r="A100" s="14" t="s">
        <v>111</v>
      </c>
      <c r="B100" s="15">
        <v>1462600</v>
      </c>
      <c r="C100" s="15">
        <v>6814368</v>
      </c>
      <c r="D100" s="15">
        <f t="shared" si="59"/>
        <v>827.7</v>
      </c>
      <c r="E100" s="16">
        <v>50.6</v>
      </c>
      <c r="F100" s="16">
        <v>370.7</v>
      </c>
      <c r="G100" s="15">
        <f t="shared" si="60"/>
        <v>421.3</v>
      </c>
      <c r="H100" s="15">
        <f t="shared" si="61"/>
        <v>95.66</v>
      </c>
      <c r="I100" s="15">
        <f t="shared" si="65"/>
        <v>310.74000000000007</v>
      </c>
      <c r="J100" s="15">
        <f t="shared" si="63"/>
        <v>406.40000000000003</v>
      </c>
      <c r="K100" s="27"/>
      <c r="L100" s="25">
        <f t="shared" si="64"/>
        <v>-406.40000000000003</v>
      </c>
    </row>
    <row r="101" spans="1:12" ht="12" customHeight="1">
      <c r="A101" s="14" t="s">
        <v>114</v>
      </c>
      <c r="B101" s="15">
        <v>724200</v>
      </c>
      <c r="C101" s="15">
        <v>2340288</v>
      </c>
      <c r="D101" s="15">
        <f t="shared" si="59"/>
        <v>306.45</v>
      </c>
      <c r="E101" s="16">
        <v>17.2</v>
      </c>
      <c r="F101" s="16">
        <v>172.5</v>
      </c>
      <c r="G101" s="15">
        <f t="shared" si="60"/>
        <v>189.7</v>
      </c>
      <c r="H101" s="15">
        <f t="shared" si="61"/>
        <v>55.22</v>
      </c>
      <c r="I101" s="15">
        <f t="shared" si="65"/>
        <v>61.53</v>
      </c>
      <c r="J101" s="15">
        <f t="shared" si="63"/>
        <v>116.75</v>
      </c>
      <c r="K101" s="27"/>
      <c r="L101" s="25">
        <f t="shared" si="64"/>
        <v>-116.75</v>
      </c>
    </row>
    <row r="102" spans="1:12" ht="12" customHeight="1">
      <c r="A102" s="9" t="s">
        <v>115</v>
      </c>
      <c r="B102" s="12">
        <f aca="true" t="shared" si="66" ref="B102:L102">SUM(B103:B109)</f>
        <v>6446800</v>
      </c>
      <c r="C102" s="12">
        <f t="shared" si="66"/>
        <v>15831360</v>
      </c>
      <c r="D102" s="12">
        <f t="shared" si="66"/>
        <v>2227.84</v>
      </c>
      <c r="E102" s="12">
        <f t="shared" si="66"/>
        <v>637.2199999999999</v>
      </c>
      <c r="F102" s="12">
        <f t="shared" si="66"/>
        <v>2090.2</v>
      </c>
      <c r="G102" s="12">
        <f t="shared" si="66"/>
        <v>2727.42</v>
      </c>
      <c r="H102" s="12">
        <f t="shared" si="66"/>
        <v>7.460000000000036</v>
      </c>
      <c r="I102" s="12">
        <f t="shared" si="66"/>
        <v>-507.03999999999996</v>
      </c>
      <c r="J102" s="12">
        <f t="shared" si="66"/>
        <v>-499.58</v>
      </c>
      <c r="K102" s="12">
        <f t="shared" si="66"/>
        <v>-1343.69</v>
      </c>
      <c r="L102" s="12">
        <f t="shared" si="66"/>
        <v>-844.1100000000001</v>
      </c>
    </row>
    <row r="103" spans="1:12" ht="12" customHeight="1">
      <c r="A103" s="14" t="s">
        <v>116</v>
      </c>
      <c r="B103" s="15">
        <v>0</v>
      </c>
      <c r="C103" s="15">
        <v>0</v>
      </c>
      <c r="D103" s="15">
        <f aca="true" t="shared" si="67" ref="D103:D109">ROUNDUP((B103+C103)/10000,2)</f>
        <v>0</v>
      </c>
      <c r="E103" s="16">
        <v>0</v>
      </c>
      <c r="F103" s="16">
        <v>0</v>
      </c>
      <c r="G103" s="15">
        <f aca="true" t="shared" si="68" ref="G103:G109">E103+F103</f>
        <v>0</v>
      </c>
      <c r="H103" s="15">
        <f aca="true" t="shared" si="69" ref="H103:H109">ROUNDUP(B103/10000,2)-E103</f>
        <v>0</v>
      </c>
      <c r="I103" s="15">
        <f aca="true" t="shared" si="70" ref="I103:I109">ROUNDUP(C103/10000,2)-F103</f>
        <v>0</v>
      </c>
      <c r="J103" s="15">
        <f aca="true" t="shared" si="71" ref="J103:J109">D103-G103</f>
        <v>0</v>
      </c>
      <c r="K103" s="27">
        <v>-79.78</v>
      </c>
      <c r="L103" s="25">
        <f aca="true" t="shared" si="72" ref="L103:L109">K103-J103</f>
        <v>-79.78</v>
      </c>
    </row>
    <row r="104" spans="1:12" ht="12" customHeight="1">
      <c r="A104" s="14" t="s">
        <v>405</v>
      </c>
      <c r="B104" s="15"/>
      <c r="C104" s="15"/>
      <c r="D104" s="15">
        <f t="shared" si="67"/>
        <v>0</v>
      </c>
      <c r="E104" s="16">
        <v>79.92</v>
      </c>
      <c r="F104" s="16">
        <v>0</v>
      </c>
      <c r="G104" s="15">
        <f t="shared" si="68"/>
        <v>79.92</v>
      </c>
      <c r="H104" s="15">
        <f t="shared" si="69"/>
        <v>-79.92</v>
      </c>
      <c r="I104" s="15">
        <f t="shared" si="70"/>
        <v>0</v>
      </c>
      <c r="J104" s="15">
        <f t="shared" si="71"/>
        <v>-79.92</v>
      </c>
      <c r="K104" s="27"/>
      <c r="L104" s="25">
        <f t="shared" si="72"/>
        <v>79.92</v>
      </c>
    </row>
    <row r="105" spans="1:12" ht="12" customHeight="1">
      <c r="A105" s="14" t="s">
        <v>117</v>
      </c>
      <c r="B105" s="15">
        <v>1299300</v>
      </c>
      <c r="C105" s="15">
        <v>3579264</v>
      </c>
      <c r="D105" s="15">
        <f t="shared" si="67"/>
        <v>487.86</v>
      </c>
      <c r="E105" s="16">
        <v>189.6</v>
      </c>
      <c r="F105" s="16">
        <v>501.6</v>
      </c>
      <c r="G105" s="15">
        <f t="shared" si="68"/>
        <v>691.2</v>
      </c>
      <c r="H105" s="15">
        <f t="shared" si="69"/>
        <v>-59.66999999999999</v>
      </c>
      <c r="I105" s="15">
        <f t="shared" si="70"/>
        <v>-143.67000000000002</v>
      </c>
      <c r="J105" s="15">
        <f t="shared" si="71"/>
        <v>-203.34000000000003</v>
      </c>
      <c r="K105" s="27"/>
      <c r="L105" s="25">
        <f t="shared" si="72"/>
        <v>203.34000000000003</v>
      </c>
    </row>
    <row r="106" spans="1:12" ht="12" customHeight="1">
      <c r="A106" s="14" t="s">
        <v>121</v>
      </c>
      <c r="B106" s="15">
        <v>1618800</v>
      </c>
      <c r="C106" s="15">
        <v>3544848</v>
      </c>
      <c r="D106" s="15">
        <f t="shared" si="67"/>
        <v>516.37</v>
      </c>
      <c r="E106" s="16">
        <v>73</v>
      </c>
      <c r="F106" s="16">
        <v>423.1</v>
      </c>
      <c r="G106" s="15">
        <f t="shared" si="68"/>
        <v>496.1</v>
      </c>
      <c r="H106" s="15">
        <f t="shared" si="69"/>
        <v>88.88</v>
      </c>
      <c r="I106" s="15">
        <f t="shared" si="70"/>
        <v>-68.61000000000001</v>
      </c>
      <c r="J106" s="15">
        <f t="shared" si="71"/>
        <v>20.269999999999982</v>
      </c>
      <c r="K106" s="27">
        <v>-536.47</v>
      </c>
      <c r="L106" s="25">
        <f t="shared" si="72"/>
        <v>-556.74</v>
      </c>
    </row>
    <row r="107" spans="1:12" ht="12" customHeight="1">
      <c r="A107" s="14" t="s">
        <v>118</v>
      </c>
      <c r="B107" s="15">
        <v>1043700</v>
      </c>
      <c r="C107" s="15">
        <v>2925360</v>
      </c>
      <c r="D107" s="15">
        <f t="shared" si="67"/>
        <v>396.91</v>
      </c>
      <c r="E107" s="16">
        <v>126.4</v>
      </c>
      <c r="F107" s="16">
        <v>340.2</v>
      </c>
      <c r="G107" s="15">
        <f t="shared" si="68"/>
        <v>466.6</v>
      </c>
      <c r="H107" s="15">
        <f t="shared" si="69"/>
        <v>-22.03</v>
      </c>
      <c r="I107" s="15">
        <f t="shared" si="70"/>
        <v>-47.65999999999997</v>
      </c>
      <c r="J107" s="15">
        <f t="shared" si="71"/>
        <v>-69.69</v>
      </c>
      <c r="K107" s="27">
        <v>-212.88</v>
      </c>
      <c r="L107" s="25">
        <f t="shared" si="72"/>
        <v>-143.19</v>
      </c>
    </row>
    <row r="108" spans="1:12" ht="12" customHeight="1">
      <c r="A108" s="14" t="s">
        <v>119</v>
      </c>
      <c r="B108" s="15">
        <v>1356100</v>
      </c>
      <c r="C108" s="15">
        <v>3510432</v>
      </c>
      <c r="D108" s="15">
        <f t="shared" si="67"/>
        <v>486.66</v>
      </c>
      <c r="E108" s="16">
        <v>114.3</v>
      </c>
      <c r="F108" s="16">
        <v>461.1</v>
      </c>
      <c r="G108" s="15">
        <f t="shared" si="68"/>
        <v>575.4</v>
      </c>
      <c r="H108" s="15">
        <f t="shared" si="69"/>
        <v>21.310000000000016</v>
      </c>
      <c r="I108" s="15">
        <f t="shared" si="70"/>
        <v>-110.05000000000001</v>
      </c>
      <c r="J108" s="15">
        <f t="shared" si="71"/>
        <v>-88.73999999999995</v>
      </c>
      <c r="K108" s="27">
        <v>-342.87</v>
      </c>
      <c r="L108" s="25">
        <f t="shared" si="72"/>
        <v>-254.13000000000005</v>
      </c>
    </row>
    <row r="109" spans="1:12" ht="12" customHeight="1">
      <c r="A109" s="14" t="s">
        <v>120</v>
      </c>
      <c r="B109" s="15">
        <v>1128900</v>
      </c>
      <c r="C109" s="15">
        <v>2271456</v>
      </c>
      <c r="D109" s="15">
        <f t="shared" si="67"/>
        <v>340.04</v>
      </c>
      <c r="E109" s="16">
        <v>54</v>
      </c>
      <c r="F109" s="16">
        <v>364.2</v>
      </c>
      <c r="G109" s="15">
        <f t="shared" si="68"/>
        <v>418.2</v>
      </c>
      <c r="H109" s="15">
        <f t="shared" si="69"/>
        <v>58.89</v>
      </c>
      <c r="I109" s="15">
        <f t="shared" si="70"/>
        <v>-137.04999999999998</v>
      </c>
      <c r="J109" s="15">
        <f t="shared" si="71"/>
        <v>-78.15999999999997</v>
      </c>
      <c r="K109" s="27">
        <v>-171.69</v>
      </c>
      <c r="L109" s="25">
        <f t="shared" si="72"/>
        <v>-93.53000000000003</v>
      </c>
    </row>
    <row r="110" spans="1:12" ht="12" customHeight="1">
      <c r="A110" s="9" t="s">
        <v>122</v>
      </c>
      <c r="B110" s="12">
        <f aca="true" t="shared" si="73" ref="B110:L110">SUM(B111:B121)</f>
        <v>3116900</v>
      </c>
      <c r="C110" s="12">
        <f t="shared" si="73"/>
        <v>7846848</v>
      </c>
      <c r="D110" s="12">
        <f t="shared" si="73"/>
        <v>1096.42</v>
      </c>
      <c r="E110" s="12">
        <f t="shared" si="73"/>
        <v>214.8</v>
      </c>
      <c r="F110" s="12">
        <f t="shared" si="73"/>
        <v>965.0999999999999</v>
      </c>
      <c r="G110" s="12">
        <f t="shared" si="73"/>
        <v>1179.8999999999999</v>
      </c>
      <c r="H110" s="12">
        <f t="shared" si="73"/>
        <v>96.88999999999999</v>
      </c>
      <c r="I110" s="12">
        <f t="shared" si="73"/>
        <v>-180.36999999999998</v>
      </c>
      <c r="J110" s="12">
        <f t="shared" si="73"/>
        <v>-83.47999999999992</v>
      </c>
      <c r="K110" s="12">
        <f t="shared" si="73"/>
        <v>-201.46000000000004</v>
      </c>
      <c r="L110" s="12">
        <f t="shared" si="73"/>
        <v>-117.98000000000005</v>
      </c>
    </row>
    <row r="111" spans="1:12" ht="12" customHeight="1">
      <c r="A111" s="14" t="s">
        <v>123</v>
      </c>
      <c r="B111" s="15"/>
      <c r="C111" s="15"/>
      <c r="D111" s="15">
        <f aca="true" t="shared" si="74" ref="D111:D121">ROUNDUP((B111+C111)/10000,2)</f>
        <v>0</v>
      </c>
      <c r="E111" s="16"/>
      <c r="F111" s="16"/>
      <c r="G111" s="15">
        <f aca="true" t="shared" si="75" ref="G111:G121">E111+F111</f>
        <v>0</v>
      </c>
      <c r="H111" s="15">
        <f aca="true" t="shared" si="76" ref="H111:H121">ROUNDUP(B111/10000,2)-E111</f>
        <v>0</v>
      </c>
      <c r="I111" s="15">
        <f aca="true" t="shared" si="77" ref="I111:I121">ROUNDUP(C111/10000,2)-F111</f>
        <v>0</v>
      </c>
      <c r="J111" s="15">
        <f aca="true" t="shared" si="78" ref="J111:J121">D111-G111</f>
        <v>0</v>
      </c>
      <c r="K111" s="27"/>
      <c r="L111" s="25">
        <f aca="true" t="shared" si="79" ref="L111:L121">K111-J111</f>
        <v>0</v>
      </c>
    </row>
    <row r="112" spans="1:12" ht="12" customHeight="1">
      <c r="A112" s="14" t="s">
        <v>406</v>
      </c>
      <c r="B112" s="15"/>
      <c r="C112" s="15"/>
      <c r="D112" s="15">
        <f t="shared" si="74"/>
        <v>0</v>
      </c>
      <c r="E112" s="16"/>
      <c r="F112" s="16"/>
      <c r="G112" s="15">
        <f t="shared" si="75"/>
        <v>0</v>
      </c>
      <c r="H112" s="15">
        <f t="shared" si="76"/>
        <v>0</v>
      </c>
      <c r="I112" s="15">
        <f t="shared" si="77"/>
        <v>0</v>
      </c>
      <c r="J112" s="15">
        <f t="shared" si="78"/>
        <v>0</v>
      </c>
      <c r="K112" s="27"/>
      <c r="L112" s="25">
        <f t="shared" si="79"/>
        <v>0</v>
      </c>
    </row>
    <row r="113" spans="1:12" ht="12" customHeight="1">
      <c r="A113" s="28" t="s">
        <v>407</v>
      </c>
      <c r="B113" s="15">
        <v>42600</v>
      </c>
      <c r="C113" s="15">
        <v>137664</v>
      </c>
      <c r="D113" s="15">
        <f t="shared" si="74"/>
        <v>18.03</v>
      </c>
      <c r="E113" s="16">
        <v>3.3</v>
      </c>
      <c r="F113" s="16">
        <v>26.8</v>
      </c>
      <c r="G113" s="15">
        <f t="shared" si="75"/>
        <v>30.1</v>
      </c>
      <c r="H113" s="15">
        <f t="shared" si="76"/>
        <v>0.96</v>
      </c>
      <c r="I113" s="15">
        <f t="shared" si="77"/>
        <v>-13.030000000000001</v>
      </c>
      <c r="J113" s="15">
        <f t="shared" si="78"/>
        <v>-12.07</v>
      </c>
      <c r="K113" s="27"/>
      <c r="L113" s="25">
        <f t="shared" si="79"/>
        <v>12.07</v>
      </c>
    </row>
    <row r="114" spans="1:12" ht="12" customHeight="1">
      <c r="A114" s="14" t="s">
        <v>124</v>
      </c>
      <c r="B114" s="15">
        <v>333700</v>
      </c>
      <c r="C114" s="15">
        <v>1238976</v>
      </c>
      <c r="D114" s="15">
        <f t="shared" si="74"/>
        <v>157.27</v>
      </c>
      <c r="E114" s="16">
        <v>13.2</v>
      </c>
      <c r="F114" s="16">
        <v>263.7</v>
      </c>
      <c r="G114" s="15">
        <f t="shared" si="75"/>
        <v>276.9</v>
      </c>
      <c r="H114" s="15">
        <f t="shared" si="76"/>
        <v>20.169999999999998</v>
      </c>
      <c r="I114" s="15">
        <f t="shared" si="77"/>
        <v>-139.79999999999998</v>
      </c>
      <c r="J114" s="15">
        <f t="shared" si="78"/>
        <v>-119.62999999999997</v>
      </c>
      <c r="K114" s="27"/>
      <c r="L114" s="25">
        <f t="shared" si="79"/>
        <v>119.62999999999997</v>
      </c>
    </row>
    <row r="115" spans="1:12" ht="12" customHeight="1">
      <c r="A115" s="14" t="s">
        <v>125</v>
      </c>
      <c r="B115" s="15">
        <v>127800</v>
      </c>
      <c r="C115" s="15">
        <v>344160</v>
      </c>
      <c r="D115" s="15">
        <f t="shared" si="74"/>
        <v>47.2</v>
      </c>
      <c r="E115" s="16">
        <v>7.7</v>
      </c>
      <c r="F115" s="16">
        <v>19.7</v>
      </c>
      <c r="G115" s="15">
        <f t="shared" si="75"/>
        <v>27.4</v>
      </c>
      <c r="H115" s="15">
        <f t="shared" si="76"/>
        <v>5.079999999999999</v>
      </c>
      <c r="I115" s="15">
        <f t="shared" si="77"/>
        <v>14.720000000000002</v>
      </c>
      <c r="J115" s="15">
        <f t="shared" si="78"/>
        <v>19.800000000000004</v>
      </c>
      <c r="K115" s="27">
        <v>-8.48</v>
      </c>
      <c r="L115" s="25">
        <f t="shared" si="79"/>
        <v>-28.280000000000005</v>
      </c>
    </row>
    <row r="116" spans="1:12" ht="12" customHeight="1">
      <c r="A116" s="14" t="s">
        <v>127</v>
      </c>
      <c r="B116" s="15">
        <v>504100</v>
      </c>
      <c r="C116" s="15">
        <v>1238976</v>
      </c>
      <c r="D116" s="15">
        <f t="shared" si="74"/>
        <v>174.31</v>
      </c>
      <c r="E116" s="16">
        <v>37.8</v>
      </c>
      <c r="F116" s="16">
        <v>146.9</v>
      </c>
      <c r="G116" s="15">
        <f t="shared" si="75"/>
        <v>184.7</v>
      </c>
      <c r="H116" s="15">
        <f t="shared" si="76"/>
        <v>12.61</v>
      </c>
      <c r="I116" s="15">
        <f t="shared" si="77"/>
        <v>-23</v>
      </c>
      <c r="J116" s="15">
        <f t="shared" si="78"/>
        <v>-10.389999999999986</v>
      </c>
      <c r="K116" s="27">
        <v>-93.58</v>
      </c>
      <c r="L116" s="25">
        <f t="shared" si="79"/>
        <v>-83.19000000000001</v>
      </c>
    </row>
    <row r="117" spans="1:12" ht="12" customHeight="1">
      <c r="A117" s="14" t="s">
        <v>126</v>
      </c>
      <c r="B117" s="15">
        <v>312400</v>
      </c>
      <c r="C117" s="15">
        <v>722736</v>
      </c>
      <c r="D117" s="15">
        <f t="shared" si="74"/>
        <v>103.52</v>
      </c>
      <c r="E117" s="16">
        <v>25.2</v>
      </c>
      <c r="F117" s="16">
        <v>91.3</v>
      </c>
      <c r="G117" s="15">
        <f t="shared" si="75"/>
        <v>116.5</v>
      </c>
      <c r="H117" s="15">
        <f t="shared" si="76"/>
        <v>6.039999999999999</v>
      </c>
      <c r="I117" s="15">
        <f t="shared" si="77"/>
        <v>-19.019999999999996</v>
      </c>
      <c r="J117" s="15">
        <f t="shared" si="78"/>
        <v>-12.980000000000004</v>
      </c>
      <c r="K117" s="27"/>
      <c r="L117" s="25">
        <f t="shared" si="79"/>
        <v>12.980000000000004</v>
      </c>
    </row>
    <row r="118" spans="1:12" ht="12" customHeight="1">
      <c r="A118" s="14" t="s">
        <v>128</v>
      </c>
      <c r="B118" s="15">
        <v>369200</v>
      </c>
      <c r="C118" s="15">
        <v>963648</v>
      </c>
      <c r="D118" s="15">
        <f t="shared" si="74"/>
        <v>133.29</v>
      </c>
      <c r="E118" s="16">
        <v>32.6</v>
      </c>
      <c r="F118" s="16">
        <v>88.3</v>
      </c>
      <c r="G118" s="15">
        <f t="shared" si="75"/>
        <v>120.9</v>
      </c>
      <c r="H118" s="15">
        <f t="shared" si="76"/>
        <v>4.32</v>
      </c>
      <c r="I118" s="15">
        <f t="shared" si="77"/>
        <v>8.070000000000007</v>
      </c>
      <c r="J118" s="15">
        <f t="shared" si="78"/>
        <v>12.389999999999986</v>
      </c>
      <c r="K118" s="27"/>
      <c r="L118" s="25">
        <f t="shared" si="79"/>
        <v>-12.389999999999986</v>
      </c>
    </row>
    <row r="119" spans="1:12" ht="12" customHeight="1">
      <c r="A119" s="14" t="s">
        <v>129</v>
      </c>
      <c r="B119" s="15">
        <v>291100</v>
      </c>
      <c r="C119" s="15">
        <v>550656</v>
      </c>
      <c r="D119" s="15">
        <f t="shared" si="74"/>
        <v>84.18</v>
      </c>
      <c r="E119" s="16">
        <v>18.5</v>
      </c>
      <c r="F119" s="16">
        <v>72.6</v>
      </c>
      <c r="G119" s="15">
        <f t="shared" si="75"/>
        <v>91.1</v>
      </c>
      <c r="H119" s="15">
        <f t="shared" si="76"/>
        <v>10.61</v>
      </c>
      <c r="I119" s="15">
        <f t="shared" si="77"/>
        <v>-17.529999999999994</v>
      </c>
      <c r="J119" s="15">
        <f t="shared" si="78"/>
        <v>-6.9199999999999875</v>
      </c>
      <c r="K119" s="27">
        <v>-26.52</v>
      </c>
      <c r="L119" s="25">
        <f t="shared" si="79"/>
        <v>-19.600000000000012</v>
      </c>
    </row>
    <row r="120" spans="1:12" ht="12" customHeight="1">
      <c r="A120" s="14" t="s">
        <v>130</v>
      </c>
      <c r="B120" s="15">
        <v>340800</v>
      </c>
      <c r="C120" s="15">
        <v>653904</v>
      </c>
      <c r="D120" s="15">
        <f t="shared" si="74"/>
        <v>99.48</v>
      </c>
      <c r="E120" s="16">
        <v>17</v>
      </c>
      <c r="F120" s="16">
        <v>54.1</v>
      </c>
      <c r="G120" s="15">
        <f t="shared" si="75"/>
        <v>71.1</v>
      </c>
      <c r="H120" s="15">
        <f t="shared" si="76"/>
        <v>17.08</v>
      </c>
      <c r="I120" s="15">
        <f t="shared" si="77"/>
        <v>11.300000000000004</v>
      </c>
      <c r="J120" s="15">
        <f t="shared" si="78"/>
        <v>28.38000000000001</v>
      </c>
      <c r="K120" s="27">
        <v>-43.74</v>
      </c>
      <c r="L120" s="25">
        <f t="shared" si="79"/>
        <v>-72.12</v>
      </c>
    </row>
    <row r="121" spans="1:12" ht="12" customHeight="1">
      <c r="A121" s="14" t="s">
        <v>131</v>
      </c>
      <c r="B121" s="15">
        <v>795200</v>
      </c>
      <c r="C121" s="15">
        <v>1996128</v>
      </c>
      <c r="D121" s="15">
        <f t="shared" si="74"/>
        <v>279.14</v>
      </c>
      <c r="E121" s="16">
        <v>59.5</v>
      </c>
      <c r="F121" s="16">
        <v>201.7</v>
      </c>
      <c r="G121" s="15">
        <f t="shared" si="75"/>
        <v>261.2</v>
      </c>
      <c r="H121" s="15">
        <f t="shared" si="76"/>
        <v>20.019999999999996</v>
      </c>
      <c r="I121" s="15">
        <f t="shared" si="77"/>
        <v>-2.079999999999984</v>
      </c>
      <c r="J121" s="15">
        <f t="shared" si="78"/>
        <v>17.939999999999998</v>
      </c>
      <c r="K121" s="27">
        <v>-29.14</v>
      </c>
      <c r="L121" s="25">
        <f t="shared" si="79"/>
        <v>-47.08</v>
      </c>
    </row>
    <row r="122" spans="1:12" ht="12" customHeight="1">
      <c r="A122" s="9" t="s">
        <v>132</v>
      </c>
      <c r="B122" s="12">
        <f aca="true" t="shared" si="80" ref="B122:L122">SUM(B123:B132)</f>
        <v>3507400</v>
      </c>
      <c r="C122" s="12">
        <f t="shared" si="80"/>
        <v>12252096</v>
      </c>
      <c r="D122" s="12">
        <f t="shared" si="80"/>
        <v>1575.9700000000003</v>
      </c>
      <c r="E122" s="12">
        <f t="shared" si="80"/>
        <v>358.4</v>
      </c>
      <c r="F122" s="12">
        <f t="shared" si="80"/>
        <v>825.8000000000001</v>
      </c>
      <c r="G122" s="12">
        <f t="shared" si="80"/>
        <v>1184.1999999999998</v>
      </c>
      <c r="H122" s="12">
        <f t="shared" si="80"/>
        <v>-7.660000000000018</v>
      </c>
      <c r="I122" s="12">
        <f t="shared" si="80"/>
        <v>399.43</v>
      </c>
      <c r="J122" s="12">
        <f t="shared" si="80"/>
        <v>391.77</v>
      </c>
      <c r="K122" s="12">
        <f t="shared" si="80"/>
        <v>-331.90999999999997</v>
      </c>
      <c r="L122" s="12">
        <f t="shared" si="80"/>
        <v>-723.68</v>
      </c>
    </row>
    <row r="123" spans="1:12" ht="12" customHeight="1">
      <c r="A123" s="14" t="s">
        <v>133</v>
      </c>
      <c r="B123" s="15">
        <v>0</v>
      </c>
      <c r="C123" s="15">
        <v>0</v>
      </c>
      <c r="D123" s="15">
        <f aca="true" t="shared" si="81" ref="D123:D132">ROUNDUP((B123+C123)/10000,2)</f>
        <v>0</v>
      </c>
      <c r="E123" s="16"/>
      <c r="F123" s="16"/>
      <c r="G123" s="15">
        <f aca="true" t="shared" si="82" ref="G123:G132">E123+F123</f>
        <v>0</v>
      </c>
      <c r="H123" s="15">
        <f aca="true" t="shared" si="83" ref="H123:H132">ROUNDUP(B123/10000,2)-E123</f>
        <v>0</v>
      </c>
      <c r="I123" s="15">
        <f aca="true" t="shared" si="84" ref="I123:I132">ROUNDUP(C123/10000,2)-F123</f>
        <v>0</v>
      </c>
      <c r="J123" s="15">
        <f aca="true" t="shared" si="85" ref="J123:J132">D123-G123</f>
        <v>0</v>
      </c>
      <c r="K123" s="27"/>
      <c r="L123" s="25">
        <f aca="true" t="shared" si="86" ref="L123:L132">K123-J123</f>
        <v>0</v>
      </c>
    </row>
    <row r="124" spans="1:12" ht="12" customHeight="1">
      <c r="A124" s="14" t="s">
        <v>408</v>
      </c>
      <c r="B124" s="15"/>
      <c r="C124" s="15"/>
      <c r="D124" s="15">
        <f t="shared" si="81"/>
        <v>0</v>
      </c>
      <c r="E124" s="16"/>
      <c r="F124" s="16"/>
      <c r="G124" s="15">
        <f t="shared" si="82"/>
        <v>0</v>
      </c>
      <c r="H124" s="15">
        <f t="shared" si="83"/>
        <v>0</v>
      </c>
      <c r="I124" s="15">
        <f t="shared" si="84"/>
        <v>0</v>
      </c>
      <c r="J124" s="15">
        <f t="shared" si="85"/>
        <v>0</v>
      </c>
      <c r="K124" s="27"/>
      <c r="L124" s="25">
        <f t="shared" si="86"/>
        <v>0</v>
      </c>
    </row>
    <row r="125" spans="1:12" ht="12" customHeight="1">
      <c r="A125" s="14" t="s">
        <v>134</v>
      </c>
      <c r="B125" s="15">
        <v>710000</v>
      </c>
      <c r="C125" s="15">
        <v>3200688</v>
      </c>
      <c r="D125" s="15">
        <f t="shared" si="81"/>
        <v>391.07</v>
      </c>
      <c r="E125" s="16">
        <v>107.5</v>
      </c>
      <c r="F125" s="16">
        <v>132.4</v>
      </c>
      <c r="G125" s="15">
        <f t="shared" si="82"/>
        <v>239.9</v>
      </c>
      <c r="H125" s="15">
        <f t="shared" si="83"/>
        <v>-36.5</v>
      </c>
      <c r="I125" s="15">
        <f t="shared" si="84"/>
        <v>187.67</v>
      </c>
      <c r="J125" s="15">
        <f t="shared" si="85"/>
        <v>151.17</v>
      </c>
      <c r="K125" s="27"/>
      <c r="L125" s="25">
        <f t="shared" si="86"/>
        <v>-151.17</v>
      </c>
    </row>
    <row r="126" spans="1:12" ht="12" customHeight="1">
      <c r="A126" s="14" t="s">
        <v>135</v>
      </c>
      <c r="B126" s="15">
        <v>660300</v>
      </c>
      <c r="C126" s="15">
        <v>1411056</v>
      </c>
      <c r="D126" s="15">
        <f t="shared" si="81"/>
        <v>207.14</v>
      </c>
      <c r="E126" s="16">
        <v>31.6</v>
      </c>
      <c r="F126" s="16">
        <v>111.6</v>
      </c>
      <c r="G126" s="15">
        <f t="shared" si="82"/>
        <v>143.2</v>
      </c>
      <c r="H126" s="15">
        <f t="shared" si="83"/>
        <v>34.43</v>
      </c>
      <c r="I126" s="15">
        <f t="shared" si="84"/>
        <v>29.51000000000002</v>
      </c>
      <c r="J126" s="15">
        <f t="shared" si="85"/>
        <v>63.94</v>
      </c>
      <c r="K126" s="27">
        <v>-178.5</v>
      </c>
      <c r="L126" s="25">
        <f t="shared" si="86"/>
        <v>-242.44</v>
      </c>
    </row>
    <row r="127" spans="1:12" ht="12" customHeight="1">
      <c r="A127" s="14" t="s">
        <v>137</v>
      </c>
      <c r="B127" s="15">
        <v>362100</v>
      </c>
      <c r="C127" s="15">
        <v>1927296</v>
      </c>
      <c r="D127" s="15">
        <f t="shared" si="81"/>
        <v>228.94</v>
      </c>
      <c r="E127" s="16">
        <v>31.6</v>
      </c>
      <c r="F127" s="16">
        <v>88.8</v>
      </c>
      <c r="G127" s="15">
        <f t="shared" si="82"/>
        <v>120.4</v>
      </c>
      <c r="H127" s="15">
        <f t="shared" si="83"/>
        <v>4.609999999999999</v>
      </c>
      <c r="I127" s="15">
        <f t="shared" si="84"/>
        <v>103.92999999999999</v>
      </c>
      <c r="J127" s="15">
        <f t="shared" si="85"/>
        <v>108.53999999999999</v>
      </c>
      <c r="K127" s="27"/>
      <c r="L127" s="25">
        <f t="shared" si="86"/>
        <v>-108.53999999999999</v>
      </c>
    </row>
    <row r="128" spans="1:12" ht="12" customHeight="1">
      <c r="A128" s="14" t="s">
        <v>138</v>
      </c>
      <c r="B128" s="15">
        <v>269800</v>
      </c>
      <c r="C128" s="15">
        <v>757152</v>
      </c>
      <c r="D128" s="15">
        <f t="shared" si="81"/>
        <v>102.7</v>
      </c>
      <c r="E128" s="16">
        <v>25.5</v>
      </c>
      <c r="F128" s="16">
        <v>66.9</v>
      </c>
      <c r="G128" s="15">
        <f t="shared" si="82"/>
        <v>92.4</v>
      </c>
      <c r="H128" s="15">
        <f t="shared" si="83"/>
        <v>1.4800000000000004</v>
      </c>
      <c r="I128" s="15">
        <f t="shared" si="84"/>
        <v>8.819999999999993</v>
      </c>
      <c r="J128" s="15">
        <f t="shared" si="85"/>
        <v>10.299999999999997</v>
      </c>
      <c r="K128" s="27"/>
      <c r="L128" s="25">
        <f t="shared" si="86"/>
        <v>-10.299999999999997</v>
      </c>
    </row>
    <row r="129" spans="1:12" ht="12" customHeight="1">
      <c r="A129" s="14" t="s">
        <v>141</v>
      </c>
      <c r="B129" s="15">
        <v>575100</v>
      </c>
      <c r="C129" s="15">
        <v>1617552</v>
      </c>
      <c r="D129" s="15">
        <f t="shared" si="81"/>
        <v>219.27</v>
      </c>
      <c r="E129" s="16">
        <v>15.3</v>
      </c>
      <c r="F129" s="16">
        <v>79.5</v>
      </c>
      <c r="G129" s="15">
        <f t="shared" si="82"/>
        <v>94.8</v>
      </c>
      <c r="H129" s="15">
        <f t="shared" si="83"/>
        <v>42.209999999999994</v>
      </c>
      <c r="I129" s="15">
        <f t="shared" si="84"/>
        <v>82.25999999999999</v>
      </c>
      <c r="J129" s="15">
        <f t="shared" si="85"/>
        <v>124.47000000000001</v>
      </c>
      <c r="K129" s="27"/>
      <c r="L129" s="25">
        <f t="shared" si="86"/>
        <v>-124.47000000000001</v>
      </c>
    </row>
    <row r="130" spans="1:12" ht="12" customHeight="1">
      <c r="A130" s="14" t="s">
        <v>136</v>
      </c>
      <c r="B130" s="15">
        <v>695800</v>
      </c>
      <c r="C130" s="15">
        <v>2753280</v>
      </c>
      <c r="D130" s="15">
        <f t="shared" si="81"/>
        <v>344.91</v>
      </c>
      <c r="E130" s="16">
        <v>113.9</v>
      </c>
      <c r="F130" s="16">
        <v>297.7</v>
      </c>
      <c r="G130" s="15">
        <f t="shared" si="82"/>
        <v>411.6</v>
      </c>
      <c r="H130" s="15">
        <f t="shared" si="83"/>
        <v>-44.32000000000001</v>
      </c>
      <c r="I130" s="15">
        <f t="shared" si="84"/>
        <v>-22.370000000000005</v>
      </c>
      <c r="J130" s="15">
        <f t="shared" si="85"/>
        <v>-66.69</v>
      </c>
      <c r="K130" s="27"/>
      <c r="L130" s="25">
        <f t="shared" si="86"/>
        <v>66.69</v>
      </c>
    </row>
    <row r="131" spans="1:12" ht="12" customHeight="1">
      <c r="A131" s="14" t="s">
        <v>139</v>
      </c>
      <c r="B131" s="15">
        <v>85200</v>
      </c>
      <c r="C131" s="15">
        <v>378576</v>
      </c>
      <c r="D131" s="15">
        <f t="shared" si="81"/>
        <v>46.38</v>
      </c>
      <c r="E131" s="16">
        <v>24.3</v>
      </c>
      <c r="F131" s="16">
        <v>23.3</v>
      </c>
      <c r="G131" s="15">
        <f t="shared" si="82"/>
        <v>47.6</v>
      </c>
      <c r="H131" s="15">
        <f t="shared" si="83"/>
        <v>-15.780000000000001</v>
      </c>
      <c r="I131" s="15">
        <f t="shared" si="84"/>
        <v>14.559999999999999</v>
      </c>
      <c r="J131" s="15">
        <f t="shared" si="85"/>
        <v>-1.2199999999999989</v>
      </c>
      <c r="K131" s="27">
        <v>-47.89</v>
      </c>
      <c r="L131" s="25">
        <f t="shared" si="86"/>
        <v>-46.67</v>
      </c>
    </row>
    <row r="132" spans="1:12" ht="12" customHeight="1">
      <c r="A132" s="14" t="s">
        <v>140</v>
      </c>
      <c r="B132" s="15">
        <v>149100</v>
      </c>
      <c r="C132" s="15">
        <v>206496</v>
      </c>
      <c r="D132" s="15">
        <f t="shared" si="81"/>
        <v>35.56</v>
      </c>
      <c r="E132" s="16">
        <v>8.7</v>
      </c>
      <c r="F132" s="16">
        <v>25.6</v>
      </c>
      <c r="G132" s="15">
        <f t="shared" si="82"/>
        <v>34.3</v>
      </c>
      <c r="H132" s="15">
        <f t="shared" si="83"/>
        <v>6.210000000000001</v>
      </c>
      <c r="I132" s="15">
        <f t="shared" si="84"/>
        <v>-4.950000000000003</v>
      </c>
      <c r="J132" s="15">
        <f t="shared" si="85"/>
        <v>1.2600000000000051</v>
      </c>
      <c r="K132" s="27">
        <v>-105.52</v>
      </c>
      <c r="L132" s="25">
        <f t="shared" si="86"/>
        <v>-106.78</v>
      </c>
    </row>
    <row r="133" spans="1:12" ht="12" customHeight="1">
      <c r="A133" s="9" t="s">
        <v>142</v>
      </c>
      <c r="B133" s="12">
        <f aca="true" t="shared" si="87" ref="B133:L133">SUM(B134:B139)</f>
        <v>2009300</v>
      </c>
      <c r="C133" s="12">
        <f t="shared" si="87"/>
        <v>6711120</v>
      </c>
      <c r="D133" s="12">
        <f t="shared" si="87"/>
        <v>872.06</v>
      </c>
      <c r="E133" s="12">
        <f t="shared" si="87"/>
        <v>0.49</v>
      </c>
      <c r="F133" s="12">
        <f t="shared" si="87"/>
        <v>398.97</v>
      </c>
      <c r="G133" s="12">
        <f t="shared" si="87"/>
        <v>399.46000000000004</v>
      </c>
      <c r="H133" s="12">
        <f t="shared" si="87"/>
        <v>200.44</v>
      </c>
      <c r="I133" s="12">
        <f t="shared" si="87"/>
        <v>272.16</v>
      </c>
      <c r="J133" s="12">
        <f t="shared" si="87"/>
        <v>472.6</v>
      </c>
      <c r="K133" s="12">
        <f t="shared" si="87"/>
        <v>-1441.73</v>
      </c>
      <c r="L133" s="12">
        <f t="shared" si="87"/>
        <v>-1914.33</v>
      </c>
    </row>
    <row r="134" spans="1:12" ht="12" customHeight="1">
      <c r="A134" s="14" t="s">
        <v>143</v>
      </c>
      <c r="B134" s="15">
        <v>0</v>
      </c>
      <c r="C134" s="15">
        <v>0</v>
      </c>
      <c r="D134" s="15">
        <f aca="true" t="shared" si="88" ref="D134:D139">ROUNDUP((B134+C134)/10000,2)</f>
        <v>0</v>
      </c>
      <c r="E134" s="16"/>
      <c r="F134" s="16"/>
      <c r="G134" s="15">
        <f aca="true" t="shared" si="89" ref="G134:G137">E134+F134</f>
        <v>0</v>
      </c>
      <c r="H134" s="15">
        <f aca="true" t="shared" si="90" ref="H134:H139">ROUNDUP(B134/10000,2)-E134</f>
        <v>0</v>
      </c>
      <c r="I134" s="15">
        <f aca="true" t="shared" si="91" ref="I134:I139">ROUNDUP(C134/10000,2)-F134</f>
        <v>0</v>
      </c>
      <c r="J134" s="15">
        <f aca="true" t="shared" si="92" ref="J134:J139">D134-G134</f>
        <v>0</v>
      </c>
      <c r="K134" s="27">
        <v>-130.88</v>
      </c>
      <c r="L134" s="25">
        <f aca="true" t="shared" si="93" ref="L134:L139">K134-J134</f>
        <v>-130.88</v>
      </c>
    </row>
    <row r="135" spans="1:12" ht="12" customHeight="1">
      <c r="A135" s="14" t="s">
        <v>409</v>
      </c>
      <c r="B135" s="15"/>
      <c r="C135" s="15"/>
      <c r="D135" s="15">
        <f t="shared" si="88"/>
        <v>0</v>
      </c>
      <c r="E135" s="16"/>
      <c r="F135" s="16"/>
      <c r="G135" s="15">
        <f t="shared" si="89"/>
        <v>0</v>
      </c>
      <c r="H135" s="15">
        <f t="shared" si="90"/>
        <v>0</v>
      </c>
      <c r="I135" s="15">
        <f t="shared" si="91"/>
        <v>0</v>
      </c>
      <c r="J135" s="15">
        <f t="shared" si="92"/>
        <v>0</v>
      </c>
      <c r="K135" s="27"/>
      <c r="L135" s="25">
        <f t="shared" si="93"/>
        <v>0</v>
      </c>
    </row>
    <row r="136" spans="1:12" ht="12" customHeight="1">
      <c r="A136" s="15" t="s">
        <v>410</v>
      </c>
      <c r="B136" s="15">
        <v>0</v>
      </c>
      <c r="C136" s="15">
        <v>0</v>
      </c>
      <c r="D136" s="15">
        <f t="shared" si="88"/>
        <v>0</v>
      </c>
      <c r="E136" s="16">
        <v>0</v>
      </c>
      <c r="F136" s="16">
        <v>11.5</v>
      </c>
      <c r="G136" s="15">
        <f t="shared" si="89"/>
        <v>11.5</v>
      </c>
      <c r="H136" s="15">
        <f t="shared" si="90"/>
        <v>0</v>
      </c>
      <c r="I136" s="15">
        <f t="shared" si="91"/>
        <v>-11.5</v>
      </c>
      <c r="J136" s="15">
        <f t="shared" si="92"/>
        <v>-11.5</v>
      </c>
      <c r="K136" s="27"/>
      <c r="L136" s="25">
        <f t="shared" si="93"/>
        <v>11.5</v>
      </c>
    </row>
    <row r="137" spans="1:12" ht="12" customHeight="1">
      <c r="A137" s="14" t="s">
        <v>144</v>
      </c>
      <c r="B137" s="15">
        <v>1015300</v>
      </c>
      <c r="C137" s="15">
        <v>1651968</v>
      </c>
      <c r="D137" s="15">
        <f t="shared" si="88"/>
        <v>266.73</v>
      </c>
      <c r="E137" s="16">
        <v>0</v>
      </c>
      <c r="F137" s="16">
        <v>41.5</v>
      </c>
      <c r="G137" s="15">
        <f t="shared" si="89"/>
        <v>41.5</v>
      </c>
      <c r="H137" s="15">
        <f t="shared" si="90"/>
        <v>101.53</v>
      </c>
      <c r="I137" s="15">
        <f t="shared" si="91"/>
        <v>123.69999999999999</v>
      </c>
      <c r="J137" s="15">
        <f t="shared" si="92"/>
        <v>225.23000000000002</v>
      </c>
      <c r="K137" s="27">
        <v>-1110.91</v>
      </c>
      <c r="L137" s="25">
        <f t="shared" si="93"/>
        <v>-1336.14</v>
      </c>
    </row>
    <row r="138" spans="1:12" ht="12" customHeight="1">
      <c r="A138" s="14" t="s">
        <v>146</v>
      </c>
      <c r="B138" s="15">
        <v>397600</v>
      </c>
      <c r="C138" s="15">
        <v>2202624</v>
      </c>
      <c r="D138" s="15">
        <f t="shared" si="88"/>
        <v>260.03</v>
      </c>
      <c r="E138" s="30">
        <v>0.49</v>
      </c>
      <c r="F138" s="30">
        <v>229.97</v>
      </c>
      <c r="G138" s="15">
        <v>230.46</v>
      </c>
      <c r="H138" s="15">
        <f t="shared" si="90"/>
        <v>39.269999999999996</v>
      </c>
      <c r="I138" s="15">
        <f t="shared" si="91"/>
        <v>-9.699999999999989</v>
      </c>
      <c r="J138" s="15">
        <f t="shared" si="92"/>
        <v>29.569999999999965</v>
      </c>
      <c r="K138" s="27"/>
      <c r="L138" s="25">
        <f t="shared" si="93"/>
        <v>-29.569999999999965</v>
      </c>
    </row>
    <row r="139" spans="1:12" ht="12" customHeight="1">
      <c r="A139" s="14" t="s">
        <v>145</v>
      </c>
      <c r="B139" s="15">
        <v>596400</v>
      </c>
      <c r="C139" s="15">
        <v>2856528</v>
      </c>
      <c r="D139" s="15">
        <f t="shared" si="88"/>
        <v>345.3</v>
      </c>
      <c r="E139" s="16">
        <v>0</v>
      </c>
      <c r="F139" s="16">
        <v>116</v>
      </c>
      <c r="G139" s="15">
        <f aca="true" t="shared" si="94" ref="G139:G152">E139+F139</f>
        <v>116</v>
      </c>
      <c r="H139" s="15">
        <f t="shared" si="90"/>
        <v>59.64</v>
      </c>
      <c r="I139" s="15">
        <f t="shared" si="91"/>
        <v>169.66000000000003</v>
      </c>
      <c r="J139" s="15">
        <f t="shared" si="92"/>
        <v>229.3</v>
      </c>
      <c r="K139" s="27">
        <v>-199.94</v>
      </c>
      <c r="L139" s="25">
        <f t="shared" si="93"/>
        <v>-429.24</v>
      </c>
    </row>
    <row r="140" spans="1:12" ht="12" customHeight="1">
      <c r="A140" s="9" t="s">
        <v>147</v>
      </c>
      <c r="B140" s="12">
        <f aca="true" t="shared" si="95" ref="B140:L140">SUM(B141:B152)</f>
        <v>6248000</v>
      </c>
      <c r="C140" s="12">
        <f t="shared" si="95"/>
        <v>19410624</v>
      </c>
      <c r="D140" s="12">
        <f t="shared" si="95"/>
        <v>2565.8999999999996</v>
      </c>
      <c r="E140" s="12">
        <f t="shared" si="95"/>
        <v>215.39999999999998</v>
      </c>
      <c r="F140" s="12">
        <f t="shared" si="95"/>
        <v>1174</v>
      </c>
      <c r="G140" s="12">
        <f t="shared" si="95"/>
        <v>1389.4</v>
      </c>
      <c r="H140" s="12">
        <f t="shared" si="95"/>
        <v>409.40000000000003</v>
      </c>
      <c r="I140" s="12">
        <f t="shared" si="95"/>
        <v>767.0999999999999</v>
      </c>
      <c r="J140" s="12">
        <f t="shared" si="95"/>
        <v>1176.5</v>
      </c>
      <c r="K140" s="12">
        <f t="shared" si="95"/>
        <v>-1355.8</v>
      </c>
      <c r="L140" s="12">
        <f t="shared" si="95"/>
        <v>-2532.3</v>
      </c>
    </row>
    <row r="141" spans="1:12" ht="12" customHeight="1">
      <c r="A141" s="14" t="s">
        <v>148</v>
      </c>
      <c r="B141" s="15"/>
      <c r="C141" s="15"/>
      <c r="D141" s="15">
        <f aca="true" t="shared" si="96" ref="D141:D152">ROUNDUP((B141+C141)/10000,2)</f>
        <v>0</v>
      </c>
      <c r="E141" s="16"/>
      <c r="F141" s="16"/>
      <c r="G141" s="15">
        <f t="shared" si="94"/>
        <v>0</v>
      </c>
      <c r="H141" s="15">
        <f aca="true" t="shared" si="97" ref="H141:H152">ROUNDUP(B141/10000,2)-E141</f>
        <v>0</v>
      </c>
      <c r="I141" s="15">
        <f aca="true" t="shared" si="98" ref="I141:I152">ROUNDUP(C141/10000,2)-F141</f>
        <v>0</v>
      </c>
      <c r="J141" s="15">
        <f aca="true" t="shared" si="99" ref="J141:J152">D141-G141</f>
        <v>0</v>
      </c>
      <c r="K141" s="27">
        <v>-614.59</v>
      </c>
      <c r="L141" s="25">
        <f aca="true" t="shared" si="100" ref="L141:L152">K141-J141</f>
        <v>-614.59</v>
      </c>
    </row>
    <row r="142" spans="1:12" ht="12" customHeight="1">
      <c r="A142" s="14" t="s">
        <v>411</v>
      </c>
      <c r="B142" s="15"/>
      <c r="C142" s="15"/>
      <c r="D142" s="15">
        <f t="shared" si="96"/>
        <v>0</v>
      </c>
      <c r="E142" s="16"/>
      <c r="F142" s="16"/>
      <c r="G142" s="15">
        <f t="shared" si="94"/>
        <v>0</v>
      </c>
      <c r="H142" s="15">
        <f t="shared" si="97"/>
        <v>0</v>
      </c>
      <c r="I142" s="15">
        <f t="shared" si="98"/>
        <v>0</v>
      </c>
      <c r="J142" s="15">
        <f t="shared" si="99"/>
        <v>0</v>
      </c>
      <c r="K142" s="27"/>
      <c r="L142" s="25">
        <f t="shared" si="100"/>
        <v>0</v>
      </c>
    </row>
    <row r="143" spans="1:12" ht="12" customHeight="1">
      <c r="A143" s="15" t="s">
        <v>412</v>
      </c>
      <c r="B143" s="15">
        <v>291100</v>
      </c>
      <c r="C143" s="15">
        <v>757152</v>
      </c>
      <c r="D143" s="15">
        <f t="shared" si="96"/>
        <v>104.83</v>
      </c>
      <c r="E143" s="16">
        <v>0</v>
      </c>
      <c r="F143" s="16">
        <v>0</v>
      </c>
      <c r="G143" s="15">
        <f t="shared" si="94"/>
        <v>0</v>
      </c>
      <c r="H143" s="15">
        <f t="shared" si="97"/>
        <v>29.11</v>
      </c>
      <c r="I143" s="15">
        <f t="shared" si="98"/>
        <v>75.72</v>
      </c>
      <c r="J143" s="15">
        <f t="shared" si="99"/>
        <v>104.83</v>
      </c>
      <c r="K143" s="27"/>
      <c r="L143" s="25">
        <f t="shared" si="100"/>
        <v>-104.83</v>
      </c>
    </row>
    <row r="144" spans="1:12" ht="12" customHeight="1">
      <c r="A144" s="14" t="s">
        <v>413</v>
      </c>
      <c r="B144" s="15">
        <v>220100</v>
      </c>
      <c r="C144" s="15">
        <v>0</v>
      </c>
      <c r="D144" s="15">
        <f t="shared" si="96"/>
        <v>22.01</v>
      </c>
      <c r="E144" s="16">
        <v>0</v>
      </c>
      <c r="F144" s="16">
        <v>0</v>
      </c>
      <c r="G144" s="15">
        <f t="shared" si="94"/>
        <v>0</v>
      </c>
      <c r="H144" s="15">
        <f t="shared" si="97"/>
        <v>22.01</v>
      </c>
      <c r="I144" s="15">
        <f t="shared" si="98"/>
        <v>0</v>
      </c>
      <c r="J144" s="15">
        <f t="shared" si="99"/>
        <v>22.01</v>
      </c>
      <c r="K144" s="27"/>
      <c r="L144" s="25">
        <f t="shared" si="100"/>
        <v>-22.01</v>
      </c>
    </row>
    <row r="145" spans="1:12" ht="12" customHeight="1">
      <c r="A145" s="14" t="s">
        <v>414</v>
      </c>
      <c r="B145" s="15">
        <v>7100</v>
      </c>
      <c r="C145" s="15">
        <v>68832</v>
      </c>
      <c r="D145" s="15">
        <f t="shared" si="96"/>
        <v>7.6</v>
      </c>
      <c r="E145" s="16">
        <v>0</v>
      </c>
      <c r="F145" s="16">
        <v>0</v>
      </c>
      <c r="G145" s="15">
        <f t="shared" si="94"/>
        <v>0</v>
      </c>
      <c r="H145" s="15">
        <f t="shared" si="97"/>
        <v>0.71</v>
      </c>
      <c r="I145" s="15">
        <f t="shared" si="98"/>
        <v>6.89</v>
      </c>
      <c r="J145" s="15">
        <f t="shared" si="99"/>
        <v>7.6</v>
      </c>
      <c r="K145" s="27"/>
      <c r="L145" s="25">
        <f t="shared" si="100"/>
        <v>-7.6</v>
      </c>
    </row>
    <row r="146" spans="1:12" ht="12" customHeight="1">
      <c r="A146" s="14" t="s">
        <v>415</v>
      </c>
      <c r="B146" s="15">
        <v>14200</v>
      </c>
      <c r="C146" s="15">
        <v>0</v>
      </c>
      <c r="D146" s="15">
        <f t="shared" si="96"/>
        <v>1.42</v>
      </c>
      <c r="E146" s="16">
        <v>0</v>
      </c>
      <c r="F146" s="16">
        <v>0</v>
      </c>
      <c r="G146" s="15">
        <f t="shared" si="94"/>
        <v>0</v>
      </c>
      <c r="H146" s="15">
        <f t="shared" si="97"/>
        <v>1.42</v>
      </c>
      <c r="I146" s="15">
        <f t="shared" si="98"/>
        <v>0</v>
      </c>
      <c r="J146" s="15">
        <f t="shared" si="99"/>
        <v>1.42</v>
      </c>
      <c r="K146" s="27"/>
      <c r="L146" s="25">
        <f t="shared" si="100"/>
        <v>-1.42</v>
      </c>
    </row>
    <row r="147" spans="1:12" ht="12" customHeight="1">
      <c r="A147" s="14" t="s">
        <v>416</v>
      </c>
      <c r="B147" s="15">
        <v>42600</v>
      </c>
      <c r="C147" s="15">
        <v>103248</v>
      </c>
      <c r="D147" s="15">
        <f t="shared" si="96"/>
        <v>14.59</v>
      </c>
      <c r="E147" s="16">
        <v>0</v>
      </c>
      <c r="F147" s="16">
        <v>0</v>
      </c>
      <c r="G147" s="15">
        <f t="shared" si="94"/>
        <v>0</v>
      </c>
      <c r="H147" s="15">
        <f t="shared" si="97"/>
        <v>4.26</v>
      </c>
      <c r="I147" s="15">
        <f t="shared" si="98"/>
        <v>10.33</v>
      </c>
      <c r="J147" s="15">
        <f t="shared" si="99"/>
        <v>14.59</v>
      </c>
      <c r="K147" s="27"/>
      <c r="L147" s="25">
        <f t="shared" si="100"/>
        <v>-14.59</v>
      </c>
    </row>
    <row r="148" spans="1:12" ht="12" customHeight="1">
      <c r="A148" s="14" t="s">
        <v>149</v>
      </c>
      <c r="B148" s="15">
        <v>1107600</v>
      </c>
      <c r="C148" s="15">
        <v>2443536</v>
      </c>
      <c r="D148" s="15">
        <f t="shared" si="96"/>
        <v>355.12</v>
      </c>
      <c r="E148" s="16">
        <v>22.3</v>
      </c>
      <c r="F148" s="16">
        <v>183.6</v>
      </c>
      <c r="G148" s="15">
        <f t="shared" si="94"/>
        <v>205.9</v>
      </c>
      <c r="H148" s="15">
        <f t="shared" si="97"/>
        <v>88.46000000000001</v>
      </c>
      <c r="I148" s="15">
        <f t="shared" si="98"/>
        <v>60.76000000000002</v>
      </c>
      <c r="J148" s="15">
        <f t="shared" si="99"/>
        <v>149.22</v>
      </c>
      <c r="K148" s="27">
        <v>-82.65</v>
      </c>
      <c r="L148" s="25">
        <f t="shared" si="100"/>
        <v>-231.87</v>
      </c>
    </row>
    <row r="149" spans="1:12" ht="12" customHeight="1">
      <c r="A149" s="14" t="s">
        <v>150</v>
      </c>
      <c r="B149" s="15">
        <v>362100</v>
      </c>
      <c r="C149" s="15">
        <v>1720800</v>
      </c>
      <c r="D149" s="15">
        <f t="shared" si="96"/>
        <v>208.29</v>
      </c>
      <c r="E149" s="16">
        <v>7.3</v>
      </c>
      <c r="F149" s="16">
        <v>46.4</v>
      </c>
      <c r="G149" s="15">
        <f t="shared" si="94"/>
        <v>53.699999999999996</v>
      </c>
      <c r="H149" s="15">
        <f t="shared" si="97"/>
        <v>28.91</v>
      </c>
      <c r="I149" s="15">
        <f t="shared" si="98"/>
        <v>125.68</v>
      </c>
      <c r="J149" s="15">
        <f t="shared" si="99"/>
        <v>154.59</v>
      </c>
      <c r="K149" s="27">
        <v>-179.88</v>
      </c>
      <c r="L149" s="25">
        <f t="shared" si="100"/>
        <v>-334.47</v>
      </c>
    </row>
    <row r="150" spans="1:12" ht="12" customHeight="1">
      <c r="A150" s="14" t="s">
        <v>151</v>
      </c>
      <c r="B150" s="15">
        <v>2513400</v>
      </c>
      <c r="C150" s="15">
        <v>7812432</v>
      </c>
      <c r="D150" s="15">
        <f t="shared" si="96"/>
        <v>1032.59</v>
      </c>
      <c r="E150" s="16">
        <v>160.7</v>
      </c>
      <c r="F150" s="16">
        <v>630.5</v>
      </c>
      <c r="G150" s="15">
        <f t="shared" si="94"/>
        <v>791.2</v>
      </c>
      <c r="H150" s="15">
        <f t="shared" si="97"/>
        <v>90.64000000000001</v>
      </c>
      <c r="I150" s="15">
        <f t="shared" si="98"/>
        <v>150.75</v>
      </c>
      <c r="J150" s="15">
        <f t="shared" si="99"/>
        <v>241.38999999999987</v>
      </c>
      <c r="K150" s="27"/>
      <c r="L150" s="25">
        <f t="shared" si="100"/>
        <v>-241.38999999999987</v>
      </c>
    </row>
    <row r="151" spans="1:12" ht="12" customHeight="1">
      <c r="A151" s="14" t="s">
        <v>152</v>
      </c>
      <c r="B151" s="15">
        <v>539600</v>
      </c>
      <c r="C151" s="15">
        <v>2133792</v>
      </c>
      <c r="D151" s="15">
        <f t="shared" si="96"/>
        <v>267.34</v>
      </c>
      <c r="E151" s="16">
        <v>13.4</v>
      </c>
      <c r="F151" s="16">
        <v>249.7</v>
      </c>
      <c r="G151" s="15">
        <f t="shared" si="94"/>
        <v>263.09999999999997</v>
      </c>
      <c r="H151" s="15">
        <f t="shared" si="97"/>
        <v>40.56</v>
      </c>
      <c r="I151" s="15">
        <f t="shared" si="98"/>
        <v>-36.31999999999999</v>
      </c>
      <c r="J151" s="15">
        <f t="shared" si="99"/>
        <v>4.240000000000009</v>
      </c>
      <c r="K151" s="27">
        <v>-28.88</v>
      </c>
      <c r="L151" s="25">
        <f t="shared" si="100"/>
        <v>-33.120000000000005</v>
      </c>
    </row>
    <row r="152" spans="1:12" ht="12" customHeight="1">
      <c r="A152" s="14" t="s">
        <v>153</v>
      </c>
      <c r="B152" s="15">
        <v>1150200</v>
      </c>
      <c r="C152" s="15">
        <v>4370832</v>
      </c>
      <c r="D152" s="15">
        <f t="shared" si="96"/>
        <v>552.11</v>
      </c>
      <c r="E152" s="16">
        <v>11.7</v>
      </c>
      <c r="F152" s="16">
        <v>63.8</v>
      </c>
      <c r="G152" s="15">
        <f t="shared" si="94"/>
        <v>75.5</v>
      </c>
      <c r="H152" s="15">
        <f t="shared" si="97"/>
        <v>103.32</v>
      </c>
      <c r="I152" s="15">
        <f t="shared" si="98"/>
        <v>373.28999999999996</v>
      </c>
      <c r="J152" s="15">
        <f t="shared" si="99"/>
        <v>476.61</v>
      </c>
      <c r="K152" s="27">
        <v>-449.8</v>
      </c>
      <c r="L152" s="25">
        <f t="shared" si="100"/>
        <v>-926.4100000000001</v>
      </c>
    </row>
    <row r="153" spans="1:12" ht="12" customHeight="1">
      <c r="A153" s="9" t="s">
        <v>154</v>
      </c>
      <c r="B153" s="12">
        <f aca="true" t="shared" si="101" ref="B153:L153">SUM(B154:B160)</f>
        <v>2797400</v>
      </c>
      <c r="C153" s="12">
        <f t="shared" si="101"/>
        <v>9120240</v>
      </c>
      <c r="D153" s="12">
        <f t="shared" si="101"/>
        <v>1191.7800000000002</v>
      </c>
      <c r="E153" s="12">
        <f t="shared" si="101"/>
        <v>234.70000000000002</v>
      </c>
      <c r="F153" s="12">
        <f t="shared" si="101"/>
        <v>693.1000000000001</v>
      </c>
      <c r="G153" s="12">
        <f t="shared" si="101"/>
        <v>927.8000000000001</v>
      </c>
      <c r="H153" s="12">
        <f t="shared" si="101"/>
        <v>45.040000000000006</v>
      </c>
      <c r="I153" s="12">
        <f t="shared" si="101"/>
        <v>218.94000000000005</v>
      </c>
      <c r="J153" s="12">
        <f t="shared" si="101"/>
        <v>263.98</v>
      </c>
      <c r="K153" s="12">
        <f t="shared" si="101"/>
        <v>-18.89</v>
      </c>
      <c r="L153" s="12">
        <f t="shared" si="101"/>
        <v>-282.87</v>
      </c>
    </row>
    <row r="154" spans="1:12" ht="12" customHeight="1">
      <c r="A154" s="14" t="s">
        <v>155</v>
      </c>
      <c r="B154" s="15">
        <v>0</v>
      </c>
      <c r="C154" s="15">
        <v>0</v>
      </c>
      <c r="D154" s="15">
        <f aca="true" t="shared" si="102" ref="D154:D160">ROUNDUP((B154+C154)/10000,2)</f>
        <v>0</v>
      </c>
      <c r="E154" s="16"/>
      <c r="F154" s="16"/>
      <c r="G154" s="15">
        <f aca="true" t="shared" si="103" ref="G154:G160">E154+F154</f>
        <v>0</v>
      </c>
      <c r="H154" s="15">
        <f aca="true" t="shared" si="104" ref="H154:H160">ROUNDUP(B154/10000,2)-E154</f>
        <v>0</v>
      </c>
      <c r="I154" s="15">
        <f aca="true" t="shared" si="105" ref="I154:I160">ROUNDUP(C154/10000,2)-F154</f>
        <v>0</v>
      </c>
      <c r="J154" s="15">
        <f aca="true" t="shared" si="106" ref="J154:J160">D154-G154</f>
        <v>0</v>
      </c>
      <c r="K154" s="27">
        <v>-18.89</v>
      </c>
      <c r="L154" s="25">
        <f aca="true" t="shared" si="107" ref="L154:L160">K154-J154</f>
        <v>-18.89</v>
      </c>
    </row>
    <row r="155" spans="1:12" ht="12" customHeight="1">
      <c r="A155" s="14" t="s">
        <v>417</v>
      </c>
      <c r="B155" s="15"/>
      <c r="C155" s="15"/>
      <c r="D155" s="15">
        <f t="shared" si="102"/>
        <v>0</v>
      </c>
      <c r="E155" s="16"/>
      <c r="F155" s="16"/>
      <c r="G155" s="15">
        <f t="shared" si="103"/>
        <v>0</v>
      </c>
      <c r="H155" s="15">
        <f t="shared" si="104"/>
        <v>0</v>
      </c>
      <c r="I155" s="15">
        <f t="shared" si="105"/>
        <v>0</v>
      </c>
      <c r="J155" s="15">
        <f t="shared" si="106"/>
        <v>0</v>
      </c>
      <c r="K155" s="27"/>
      <c r="L155" s="25">
        <f t="shared" si="107"/>
        <v>0</v>
      </c>
    </row>
    <row r="156" spans="1:12" ht="12" customHeight="1">
      <c r="A156" s="14" t="s">
        <v>156</v>
      </c>
      <c r="B156" s="15">
        <v>355000</v>
      </c>
      <c r="C156" s="15">
        <v>1445472</v>
      </c>
      <c r="D156" s="15">
        <f t="shared" si="102"/>
        <v>180.05</v>
      </c>
      <c r="E156" s="16">
        <v>51.6</v>
      </c>
      <c r="F156" s="16">
        <v>108.5</v>
      </c>
      <c r="G156" s="15">
        <f t="shared" si="103"/>
        <v>160.1</v>
      </c>
      <c r="H156" s="15">
        <f t="shared" si="104"/>
        <v>-16.1</v>
      </c>
      <c r="I156" s="15">
        <f t="shared" si="105"/>
        <v>36.05000000000001</v>
      </c>
      <c r="J156" s="15">
        <f t="shared" si="106"/>
        <v>19.950000000000017</v>
      </c>
      <c r="K156" s="27"/>
      <c r="L156" s="25">
        <f t="shared" si="107"/>
        <v>-19.950000000000017</v>
      </c>
    </row>
    <row r="157" spans="1:12" ht="12" customHeight="1">
      <c r="A157" s="14" t="s">
        <v>160</v>
      </c>
      <c r="B157" s="15">
        <v>347900</v>
      </c>
      <c r="C157" s="15">
        <v>1032480</v>
      </c>
      <c r="D157" s="15">
        <f t="shared" si="102"/>
        <v>138.04</v>
      </c>
      <c r="E157" s="16">
        <v>46.2</v>
      </c>
      <c r="F157" s="16">
        <v>77</v>
      </c>
      <c r="G157" s="15">
        <f t="shared" si="103"/>
        <v>123.2</v>
      </c>
      <c r="H157" s="15">
        <f t="shared" si="104"/>
        <v>-11.410000000000004</v>
      </c>
      <c r="I157" s="15">
        <f t="shared" si="105"/>
        <v>26.25</v>
      </c>
      <c r="J157" s="15">
        <f t="shared" si="106"/>
        <v>14.83999999999999</v>
      </c>
      <c r="K157" s="27"/>
      <c r="L157" s="25">
        <f t="shared" si="107"/>
        <v>-14.83999999999999</v>
      </c>
    </row>
    <row r="158" spans="1:12" ht="12" customHeight="1">
      <c r="A158" s="14" t="s">
        <v>159</v>
      </c>
      <c r="B158" s="15">
        <v>468600</v>
      </c>
      <c r="C158" s="15">
        <v>963648</v>
      </c>
      <c r="D158" s="15">
        <f t="shared" si="102"/>
        <v>143.23</v>
      </c>
      <c r="E158" s="16">
        <v>18.2</v>
      </c>
      <c r="F158" s="16">
        <v>91.6</v>
      </c>
      <c r="G158" s="15">
        <f t="shared" si="103"/>
        <v>109.8</v>
      </c>
      <c r="H158" s="15">
        <f t="shared" si="104"/>
        <v>28.66</v>
      </c>
      <c r="I158" s="15">
        <f t="shared" si="105"/>
        <v>4.77000000000001</v>
      </c>
      <c r="J158" s="15">
        <f t="shared" si="106"/>
        <v>33.42999999999999</v>
      </c>
      <c r="K158" s="27"/>
      <c r="L158" s="25">
        <f t="shared" si="107"/>
        <v>-33.42999999999999</v>
      </c>
    </row>
    <row r="159" spans="1:12" ht="12" customHeight="1">
      <c r="A159" s="14" t="s">
        <v>157</v>
      </c>
      <c r="B159" s="15">
        <v>1192800</v>
      </c>
      <c r="C159" s="15">
        <v>3957840</v>
      </c>
      <c r="D159" s="15">
        <f t="shared" si="102"/>
        <v>515.07</v>
      </c>
      <c r="E159" s="16">
        <v>89.3</v>
      </c>
      <c r="F159" s="16">
        <v>295.8</v>
      </c>
      <c r="G159" s="15">
        <f t="shared" si="103"/>
        <v>385.1</v>
      </c>
      <c r="H159" s="15">
        <f t="shared" si="104"/>
        <v>29.980000000000004</v>
      </c>
      <c r="I159" s="15">
        <f t="shared" si="105"/>
        <v>99.99000000000001</v>
      </c>
      <c r="J159" s="15">
        <f t="shared" si="106"/>
        <v>129.97000000000003</v>
      </c>
      <c r="K159" s="27"/>
      <c r="L159" s="25">
        <f t="shared" si="107"/>
        <v>-129.97000000000003</v>
      </c>
    </row>
    <row r="160" spans="1:12" ht="12" customHeight="1">
      <c r="A160" s="14" t="s">
        <v>158</v>
      </c>
      <c r="B160" s="15">
        <v>433100</v>
      </c>
      <c r="C160" s="15">
        <v>1720800</v>
      </c>
      <c r="D160" s="15">
        <f t="shared" si="102"/>
        <v>215.39</v>
      </c>
      <c r="E160" s="16">
        <v>29.4</v>
      </c>
      <c r="F160" s="16">
        <v>120.2</v>
      </c>
      <c r="G160" s="15">
        <f t="shared" si="103"/>
        <v>149.6</v>
      </c>
      <c r="H160" s="15">
        <f t="shared" si="104"/>
        <v>13.910000000000004</v>
      </c>
      <c r="I160" s="15">
        <f t="shared" si="105"/>
        <v>51.88000000000001</v>
      </c>
      <c r="J160" s="15">
        <f t="shared" si="106"/>
        <v>65.78999999999999</v>
      </c>
      <c r="K160" s="27"/>
      <c r="L160" s="25">
        <f t="shared" si="107"/>
        <v>-65.78999999999999</v>
      </c>
    </row>
    <row r="162" ht="12" customHeight="1">
      <c r="A162" s="2" t="s">
        <v>418</v>
      </c>
    </row>
    <row r="163" spans="1:11" ht="12" customHeight="1">
      <c r="A163" s="31" t="s">
        <v>419</v>
      </c>
      <c r="B163" s="31"/>
      <c r="C163" s="31"/>
      <c r="D163" s="31"/>
      <c r="E163" s="31"/>
      <c r="F163" s="31"/>
      <c r="G163" s="31"/>
      <c r="H163" s="31"/>
      <c r="I163" s="31"/>
      <c r="J163" s="31"/>
      <c r="K163" s="31"/>
    </row>
    <row r="164" spans="1:11" ht="12" customHeight="1">
      <c r="A164" s="31" t="s">
        <v>420</v>
      </c>
      <c r="B164" s="31"/>
      <c r="C164" s="31"/>
      <c r="D164" s="31"/>
      <c r="E164" s="31"/>
      <c r="F164" s="31"/>
      <c r="G164" s="31"/>
      <c r="H164" s="31"/>
      <c r="I164" s="31"/>
      <c r="J164" s="31"/>
      <c r="K164" s="31"/>
    </row>
  </sheetData>
  <sheetProtection/>
  <mergeCells count="9">
    <mergeCell ref="A2:L2"/>
    <mergeCell ref="B3:D3"/>
    <mergeCell ref="E3:G3"/>
    <mergeCell ref="H3:J3"/>
    <mergeCell ref="A163:K163"/>
    <mergeCell ref="A164:K164"/>
    <mergeCell ref="A3:A5"/>
    <mergeCell ref="K3:K4"/>
    <mergeCell ref="L3:L4"/>
  </mergeCells>
  <printOptions horizontalCentered="1"/>
  <pageMargins left="0.39305555555555555" right="0.39305555555555555" top="0.5902777777777778" bottom="0.7868055555555555" header="0.2986111111111111" footer="0.2986111111111111"/>
  <pageSetup fitToHeight="0" fitToWidth="1" horizontalDpi="600" verticalDpi="600" orientation="landscape" paperSize="9" scale="8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罗灿</dc:creator>
  <cp:keywords/>
  <dc:description/>
  <cp:lastModifiedBy>邓平</cp:lastModifiedBy>
  <dcterms:created xsi:type="dcterms:W3CDTF">2020-06-24T01:29:42Z</dcterms:created>
  <dcterms:modified xsi:type="dcterms:W3CDTF">2021-02-25T08:05:08Z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